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ustomProperty2.bin" ContentType="application/vnd.openxmlformats-officedocument.spreadsheetml.customProperty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ustomProperty3.bin" ContentType="application/vnd.openxmlformats-officedocument.spreadsheetml.customProperty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ustomProperty4.bin" ContentType="application/vnd.openxmlformats-officedocument.spreadsheetml.customProperty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2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57" firstSheet="1" activeTab="1"/>
  </bookViews>
  <sheets>
    <sheet name="Data " sheetId="1" state="hidden" r:id="rId1"/>
    <sheet name="Passenger Vehicle" sheetId="2" r:id="rId2"/>
    <sheet name="Commercial Vehicle" sheetId="3" r:id="rId3"/>
    <sheet name="Three Wheeler" sheetId="4" r:id="rId4"/>
    <sheet name="2 wheeler" sheetId="5" r:id="rId5"/>
    <sheet name="DV-IDENTITY-0" sheetId="6" state="veryHidden" r:id="rId6"/>
  </sheets>
  <definedNames/>
  <calcPr fullCalcOnLoad="1"/>
</workbook>
</file>

<file path=xl/sharedStrings.xml><?xml version="1.0" encoding="utf-8"?>
<sst xmlns="http://schemas.openxmlformats.org/spreadsheetml/2006/main" count="303" uniqueCount="45">
  <si>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</si>
  <si>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</si>
  <si>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</si>
  <si>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</si>
  <si>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</si>
  <si>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</si>
  <si>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</si>
  <si>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</si>
  <si>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</si>
  <si>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</si>
  <si>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</si>
  <si>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</si>
  <si>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</si>
  <si>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</si>
  <si>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</si>
  <si>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</si>
  <si>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</si>
  <si>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</si>
  <si>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</si>
  <si>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</si>
  <si>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</si>
  <si>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</si>
  <si>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</si>
  <si>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</si>
  <si>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</si>
  <si>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</si>
  <si>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</si>
  <si>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</si>
  <si>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</si>
  <si>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</si>
  <si>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</si>
  <si>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</si>
  <si>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</si>
  <si>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</si>
  <si>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</si>
  <si>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</si>
  <si>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</si>
  <si>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</si>
  <si>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</si>
  <si>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</si>
  <si>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</si>
  <si>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</si>
  <si>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</si>
  <si>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2018-19</t>
  </si>
  <si>
    <t>FY 2019-20</t>
  </si>
</sst>
</file>

<file path=xl/styles.xml><?xml version="1.0" encoding="utf-8"?>
<styleSheet xmlns="http://schemas.openxmlformats.org/spreadsheetml/2006/main">
  <numFmts count="4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&quot;#,##0_);\(&quot;Rs&quot;#,##0\)"/>
    <numFmt numFmtId="181" formatCode="&quot;Rs&quot;#,##0_);[Red]\(&quot;Rs&quot;#,##0\)"/>
    <numFmt numFmtId="182" formatCode="&quot;Rs&quot;#,##0.00_);\(&quot;Rs&quot;#,##0.00\)"/>
    <numFmt numFmtId="183" formatCode="&quot;Rs&quot;#,##0.00_);[Red]\(&quot;Rs&quot;#,##0.00\)"/>
    <numFmt numFmtId="184" formatCode="_(&quot;Rs&quot;* #,##0_);_(&quot;Rs&quot;* \(#,##0\);_(&quot;Rs&quot;* &quot;-&quot;_);_(@_)"/>
    <numFmt numFmtId="185" formatCode="_(&quot;Rs&quot;* #,##0.00_);_(&quot;Rs&quot;* \(#,##0.00\);_(&quot;Rs&quot;* &quot;-&quot;??_);_(@_)"/>
    <numFmt numFmtId="186" formatCode="&quot;Rs &quot;#,##0_);\(&quot;Rs &quot;#,##0\)"/>
    <numFmt numFmtId="187" formatCode="&quot;Rs &quot;#,##0_);[Red]\(&quot;Rs &quot;#,##0\)"/>
    <numFmt numFmtId="188" formatCode="&quot;Rs &quot;#,##0.00_);\(&quot;Rs &quot;#,##0.00\)"/>
    <numFmt numFmtId="189" formatCode="&quot;Rs &quot;#,##0.00_);[Red]\(&quot;Rs &quot;#,##0.00\)"/>
    <numFmt numFmtId="190" formatCode="_(&quot;Rs &quot;* #,##0_);_(&quot;Rs &quot;* \(#,##0\);_(&quot;Rs &quot;* &quot;-&quot;_);_(@_)"/>
    <numFmt numFmtId="191" formatCode="_(&quot;Rs &quot;* #,##0.00_);_(&quot;Rs &quot;* \(#,##0.00\);_(&quot;Rs &quot;* &quot;-&quot;??_);_(@_)"/>
    <numFmt numFmtId="192" formatCode="0_)"/>
    <numFmt numFmtId="193" formatCode="[$-809]dd\ mmmm\ yyyy"/>
    <numFmt numFmtId="194" formatCode="mm/yy"/>
    <numFmt numFmtId="195" formatCode="_(* #,##0.0_);_(* \(#,##0.0\);_(* &quot;-&quot;??_);_(@_)"/>
    <numFmt numFmtId="196" formatCode="_(* #,##0_);_(* \(#,##0\);_(* &quot;-&quot;?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.5"/>
      <color indexed="8"/>
      <name val="Arial"/>
      <family val="0"/>
    </font>
    <font>
      <sz val="9.75"/>
      <color indexed="8"/>
      <name val="Arial"/>
      <family val="0"/>
    </font>
    <font>
      <b/>
      <sz val="12"/>
      <color indexed="43"/>
      <name val="Arial"/>
      <family val="0"/>
    </font>
    <font>
      <b/>
      <sz val="10"/>
      <color indexed="43"/>
      <name val="Arial"/>
      <family val="0"/>
    </font>
    <font>
      <sz val="10.25"/>
      <color indexed="8"/>
      <name val="Arial"/>
      <family val="0"/>
    </font>
    <font>
      <b/>
      <sz val="9.75"/>
      <color indexed="8"/>
      <name val="Arial"/>
      <family val="0"/>
    </font>
    <font>
      <sz val="1.4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0" fillId="0" borderId="0" xfId="59" applyFont="1" applyAlignment="1">
      <alignment/>
    </xf>
    <xf numFmtId="196" fontId="0" fillId="0" borderId="0" xfId="42" applyNumberFormat="1" applyFont="1" applyAlignment="1">
      <alignment/>
    </xf>
    <xf numFmtId="196" fontId="0" fillId="0" borderId="0" xfId="42" applyNumberFormat="1" applyFont="1" applyAlignment="1">
      <alignment horizontal="right"/>
    </xf>
    <xf numFmtId="196" fontId="0" fillId="0" borderId="0" xfId="42" applyNumberFormat="1" applyFont="1" applyAlignment="1">
      <alignment/>
    </xf>
    <xf numFmtId="3" fontId="3" fillId="0" borderId="0" xfId="0" applyNumberFormat="1" applyFont="1" applyBorder="1" applyAlignment="1">
      <alignment vertical="center"/>
    </xf>
    <xf numFmtId="9" fontId="0" fillId="0" borderId="0" xfId="59" applyNumberFormat="1" applyAlignment="1">
      <alignment/>
    </xf>
    <xf numFmtId="171" fontId="0" fillId="0" borderId="0" xfId="42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ptCount val="12"/>
                <c:pt idx="0">
                  <c:v>232</c:v>
                </c:pt>
                <c:pt idx="1">
                  <c:v>246</c:v>
                </c:pt>
                <c:pt idx="2">
                  <c:v>218</c:v>
                </c:pt>
                <c:pt idx="3">
                  <c:v>257</c:v>
                </c:pt>
                <c:pt idx="4">
                  <c:v>256</c:v>
                </c:pt>
                <c:pt idx="5">
                  <c:v>233</c:v>
                </c:pt>
                <c:pt idx="6">
                  <c:v>233</c:v>
                </c:pt>
                <c:pt idx="7">
                  <c:v>188</c:v>
                </c:pt>
                <c:pt idx="8">
                  <c:v>179</c:v>
                </c:pt>
                <c:pt idx="9">
                  <c:v>234</c:v>
                </c:pt>
                <c:pt idx="10">
                  <c:v>218</c:v>
                </c:pt>
                <c:pt idx="11">
                  <c:v>217</c:v>
                </c:pt>
              </c:numCache>
            </c:numRef>
          </c:val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ptCount val="12"/>
                <c:pt idx="0">
                  <c:v>217</c:v>
                </c:pt>
                <c:pt idx="1">
                  <c:v>204</c:v>
                </c:pt>
              </c:numCache>
            </c:numRef>
          </c:val>
        </c:ser>
        <c:axId val="12613713"/>
        <c:axId val="46414554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ptCount val="12"/>
                <c:pt idx="0">
                  <c:v>-0.06465517241379311</c:v>
                </c:pt>
                <c:pt idx="1">
                  <c:v>-0.17073170731707318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5077803"/>
        <c:axId val="1482500"/>
      </c:lineChart>
      <c:catAx>
        <c:axId val="1261371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14554"/>
        <c:crosses val="autoZero"/>
        <c:auto val="1"/>
        <c:lblOffset val="100"/>
        <c:tickLblSkip val="1"/>
        <c:noMultiLvlLbl val="0"/>
      </c:catAx>
      <c:valAx>
        <c:axId val="4641455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13713"/>
        <c:crossesAt val="1"/>
        <c:crossBetween val="between"/>
        <c:dispUnits/>
      </c:valAx>
      <c:catAx>
        <c:axId val="15077803"/>
        <c:scaling>
          <c:orientation val="minMax"/>
        </c:scaling>
        <c:axPos val="b"/>
        <c:delete val="1"/>
        <c:majorTickMark val="out"/>
        <c:minorTickMark val="none"/>
        <c:tickLblPos val="nextTo"/>
        <c:crossAx val="1482500"/>
        <c:crosses val="autoZero"/>
        <c:auto val="1"/>
        <c:lblOffset val="100"/>
        <c:tickLblSkip val="1"/>
        <c:noMultiLvlLbl val="0"/>
      </c:catAx>
      <c:valAx>
        <c:axId val="1482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7780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25"/>
          <c:y val="0.9415"/>
          <c:w val="0.368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'!$Q$23:$Q$34</c:f>
              <c:numCache>
                <c:ptCount val="12"/>
                <c:pt idx="0">
                  <c:v>48</c:v>
                </c:pt>
                <c:pt idx="1">
                  <c:v>51</c:v>
                </c:pt>
                <c:pt idx="2">
                  <c:v>56</c:v>
                </c:pt>
                <c:pt idx="3">
                  <c:v>53</c:v>
                </c:pt>
                <c:pt idx="4">
                  <c:v>55</c:v>
                </c:pt>
                <c:pt idx="5">
                  <c:v>62</c:v>
                </c:pt>
                <c:pt idx="6">
                  <c:v>61</c:v>
                </c:pt>
                <c:pt idx="7">
                  <c:v>51</c:v>
                </c:pt>
                <c:pt idx="8">
                  <c:v>48</c:v>
                </c:pt>
                <c:pt idx="9">
                  <c:v>57</c:v>
                </c:pt>
                <c:pt idx="10">
                  <c:v>57</c:v>
                </c:pt>
                <c:pt idx="11">
                  <c:v>71</c:v>
                </c:pt>
              </c:numCache>
            </c:numRef>
          </c:val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'!$R$23:$R$34</c:f>
              <c:numCache>
                <c:ptCount val="12"/>
                <c:pt idx="0">
                  <c:v>45</c:v>
                </c:pt>
                <c:pt idx="1">
                  <c:v>47</c:v>
                </c:pt>
              </c:numCache>
            </c:numRef>
          </c:val>
        </c:ser>
        <c:axId val="63422405"/>
        <c:axId val="33930734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'!$S$23:$S$34</c:f>
              <c:numCache>
                <c:ptCount val="12"/>
                <c:pt idx="0">
                  <c:v>-0.0625</c:v>
                </c:pt>
                <c:pt idx="1">
                  <c:v>-0.0784313725490196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6941151"/>
        <c:axId val="64034904"/>
      </c:lineChart>
      <c:catAx>
        <c:axId val="6342240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30734"/>
        <c:crosses val="autoZero"/>
        <c:auto val="1"/>
        <c:lblOffset val="100"/>
        <c:tickLblSkip val="1"/>
        <c:noMultiLvlLbl val="0"/>
      </c:catAx>
      <c:valAx>
        <c:axId val="3393073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22405"/>
        <c:crossesAt val="1"/>
        <c:crossBetween val="between"/>
        <c:dispUnits/>
      </c:valAx>
      <c:catAx>
        <c:axId val="36941151"/>
        <c:scaling>
          <c:orientation val="minMax"/>
        </c:scaling>
        <c:axPos val="b"/>
        <c:delete val="1"/>
        <c:majorTickMark val="out"/>
        <c:minorTickMark val="none"/>
        <c:tickLblPos val="nextTo"/>
        <c:crossAx val="64034904"/>
        <c:crosses val="autoZero"/>
        <c:auto val="1"/>
        <c:lblOffset val="100"/>
        <c:tickLblSkip val="1"/>
        <c:noMultiLvlLbl val="0"/>
      </c:catAx>
      <c:valAx>
        <c:axId val="64034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4115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"/>
          <c:y val="0.94225"/>
          <c:w val="0.366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'!$B$57:$B$68</c:f>
              <c:numCache>
                <c:ptCount val="12"/>
                <c:pt idx="0">
                  <c:v>97</c:v>
                </c:pt>
                <c:pt idx="1">
                  <c:v>100</c:v>
                </c:pt>
                <c:pt idx="2">
                  <c:v>105</c:v>
                </c:pt>
                <c:pt idx="3">
                  <c:v>106</c:v>
                </c:pt>
                <c:pt idx="4">
                  <c:v>113</c:v>
                </c:pt>
                <c:pt idx="5">
                  <c:v>118</c:v>
                </c:pt>
                <c:pt idx="6">
                  <c:v>122</c:v>
                </c:pt>
                <c:pt idx="7">
                  <c:v>100</c:v>
                </c:pt>
                <c:pt idx="8">
                  <c:v>82</c:v>
                </c:pt>
                <c:pt idx="9">
                  <c:v>96</c:v>
                </c:pt>
                <c:pt idx="10">
                  <c:v>109</c:v>
                </c:pt>
                <c:pt idx="11">
                  <c:v>121</c:v>
                </c:pt>
              </c:numCache>
            </c:numRef>
          </c:val>
        </c:ser>
        <c:ser>
          <c:idx val="1"/>
          <c:order val="1"/>
          <c:tx>
            <c:strRef>
              <c:f>'Data '!$C$56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'!$C$57:$C$68</c:f>
              <c:numCache>
                <c:ptCount val="12"/>
                <c:pt idx="0">
                  <c:v>93</c:v>
                </c:pt>
                <c:pt idx="1">
                  <c:v>91</c:v>
                </c:pt>
              </c:numCache>
            </c:numRef>
          </c:val>
        </c:ser>
        <c:axId val="39443225"/>
        <c:axId val="19444706"/>
      </c:barChart>
      <c:lineChart>
        <c:grouping val="standard"/>
        <c:varyColors val="0"/>
        <c:ser>
          <c:idx val="2"/>
          <c:order val="2"/>
          <c:tx>
            <c:strRef>
              <c:f>'Data '!$D$56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'!$D$57:$D$68</c:f>
              <c:numCache>
                <c:ptCount val="12"/>
                <c:pt idx="0">
                  <c:v>-0.041237113402061855</c:v>
                </c:pt>
                <c:pt idx="1">
                  <c:v>-0.09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0784627"/>
        <c:axId val="31517324"/>
      </c:lineChart>
      <c:catAx>
        <c:axId val="3944322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44706"/>
        <c:crosses val="autoZero"/>
        <c:auto val="1"/>
        <c:lblOffset val="100"/>
        <c:tickLblSkip val="1"/>
        <c:noMultiLvlLbl val="0"/>
      </c:catAx>
      <c:valAx>
        <c:axId val="1944470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43225"/>
        <c:crossesAt val="1"/>
        <c:crossBetween val="between"/>
        <c:dispUnits/>
      </c:valAx>
      <c:catAx>
        <c:axId val="40784627"/>
        <c:scaling>
          <c:orientation val="minMax"/>
        </c:scaling>
        <c:axPos val="b"/>
        <c:delete val="1"/>
        <c:majorTickMark val="out"/>
        <c:minorTickMark val="none"/>
        <c:tickLblPos val="nextTo"/>
        <c:crossAx val="31517324"/>
        <c:crosses val="autoZero"/>
        <c:auto val="1"/>
        <c:lblOffset val="100"/>
        <c:tickLblSkip val="1"/>
        <c:noMultiLvlLbl val="0"/>
      </c:catAx>
      <c:valAx>
        <c:axId val="315173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8462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05"/>
          <c:w val="0.372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'!$G$57:$G$68</c:f>
              <c:numCache>
                <c:ptCount val="12"/>
                <c:pt idx="0">
                  <c:v>100</c:v>
                </c:pt>
                <c:pt idx="1">
                  <c:v>101</c:v>
                </c:pt>
                <c:pt idx="2">
                  <c:v>105</c:v>
                </c:pt>
                <c:pt idx="3">
                  <c:v>106</c:v>
                </c:pt>
                <c:pt idx="4">
                  <c:v>115</c:v>
                </c:pt>
                <c:pt idx="5">
                  <c:v>118</c:v>
                </c:pt>
                <c:pt idx="6">
                  <c:v>122</c:v>
                </c:pt>
                <c:pt idx="7">
                  <c:v>100</c:v>
                </c:pt>
                <c:pt idx="8">
                  <c:v>83</c:v>
                </c:pt>
                <c:pt idx="9">
                  <c:v>98</c:v>
                </c:pt>
                <c:pt idx="10">
                  <c:v>106</c:v>
                </c:pt>
                <c:pt idx="11">
                  <c:v>115</c:v>
                </c:pt>
              </c:numCache>
            </c:numRef>
          </c:val>
        </c:ser>
        <c:ser>
          <c:idx val="1"/>
          <c:order val="1"/>
          <c:tx>
            <c:strRef>
              <c:f>'Data '!$H$56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'!$H$57:$H$68</c:f>
              <c:numCache>
                <c:ptCount val="12"/>
                <c:pt idx="0">
                  <c:v>92</c:v>
                </c:pt>
                <c:pt idx="1">
                  <c:v>91</c:v>
                </c:pt>
              </c:numCache>
            </c:numRef>
          </c:val>
        </c:ser>
        <c:axId val="15220461"/>
        <c:axId val="2766422"/>
      </c:barChart>
      <c:lineChart>
        <c:grouping val="standard"/>
        <c:varyColors val="0"/>
        <c:ser>
          <c:idx val="2"/>
          <c:order val="2"/>
          <c:tx>
            <c:strRef>
              <c:f>'Data '!$I$56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'!$I$57:$I$68</c:f>
              <c:numCache>
                <c:ptCount val="12"/>
                <c:pt idx="0">
                  <c:v>-0.08</c:v>
                </c:pt>
                <c:pt idx="1">
                  <c:v>-0.09900990099009901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4897799"/>
        <c:axId val="22753600"/>
      </c:lineChart>
      <c:catAx>
        <c:axId val="1522046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6422"/>
        <c:crosses val="autoZero"/>
        <c:auto val="1"/>
        <c:lblOffset val="100"/>
        <c:tickLblSkip val="1"/>
        <c:noMultiLvlLbl val="0"/>
      </c:catAx>
      <c:valAx>
        <c:axId val="276642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20461"/>
        <c:crossesAt val="1"/>
        <c:crossBetween val="between"/>
        <c:dispUnits/>
      </c:valAx>
      <c:catAx>
        <c:axId val="24897799"/>
        <c:scaling>
          <c:orientation val="minMax"/>
        </c:scaling>
        <c:axPos val="b"/>
        <c:delete val="1"/>
        <c:majorTickMark val="out"/>
        <c:minorTickMark val="none"/>
        <c:tickLblPos val="nextTo"/>
        <c:crossAx val="22753600"/>
        <c:crosses val="autoZero"/>
        <c:auto val="1"/>
        <c:lblOffset val="100"/>
        <c:tickLblSkip val="1"/>
        <c:noMultiLvlLbl val="0"/>
      </c:catAx>
      <c:valAx>
        <c:axId val="227536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9779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75"/>
          <c:y val="0.94075"/>
          <c:w val="0.3722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'!$B$40:$B$51</c:f>
              <c:numCache>
                <c:ptCount val="12"/>
                <c:pt idx="0">
                  <c:v>626</c:v>
                </c:pt>
                <c:pt idx="1">
                  <c:v>608</c:v>
                </c:pt>
                <c:pt idx="2">
                  <c:v>637</c:v>
                </c:pt>
                <c:pt idx="3">
                  <c:v>687</c:v>
                </c:pt>
                <c:pt idx="4">
                  <c:v>683</c:v>
                </c:pt>
                <c:pt idx="5">
                  <c:v>711</c:v>
                </c:pt>
                <c:pt idx="6">
                  <c:v>678</c:v>
                </c:pt>
                <c:pt idx="7">
                  <c:v>592</c:v>
                </c:pt>
                <c:pt idx="8">
                  <c:v>391</c:v>
                </c:pt>
                <c:pt idx="9">
                  <c:v>558</c:v>
                </c:pt>
                <c:pt idx="10">
                  <c:v>583</c:v>
                </c:pt>
                <c:pt idx="11">
                  <c:v>340</c:v>
                </c:pt>
              </c:numCache>
            </c:numRef>
          </c:val>
        </c:ser>
        <c:ser>
          <c:idx val="1"/>
          <c:order val="1"/>
          <c:tx>
            <c:strRef>
              <c:f>'Data '!$C$39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'!$C$40:$C$51</c:f>
              <c:numCache>
                <c:ptCount val="12"/>
                <c:pt idx="0">
                  <c:v>464</c:v>
                </c:pt>
                <c:pt idx="1">
                  <c:v>538</c:v>
                </c:pt>
              </c:numCache>
            </c:numRef>
          </c:val>
        </c:ser>
        <c:axId val="3455809"/>
        <c:axId val="31102282"/>
      </c:barChart>
      <c:lineChart>
        <c:grouping val="standard"/>
        <c:varyColors val="0"/>
        <c:ser>
          <c:idx val="2"/>
          <c:order val="2"/>
          <c:tx>
            <c:strRef>
              <c:f>'Data '!$D$39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'!$D$40:$D$51</c:f>
              <c:numCache>
                <c:ptCount val="12"/>
                <c:pt idx="0">
                  <c:v>-0.25878594249201275</c:v>
                </c:pt>
                <c:pt idx="1">
                  <c:v>-0.11513157894736842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1485083"/>
        <c:axId val="36256884"/>
      </c:lineChart>
      <c:catAx>
        <c:axId val="345580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02282"/>
        <c:crosses val="autoZero"/>
        <c:auto val="1"/>
        <c:lblOffset val="100"/>
        <c:tickLblSkip val="1"/>
        <c:noMultiLvlLbl val="0"/>
      </c:catAx>
      <c:valAx>
        <c:axId val="3110228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5809"/>
        <c:crossesAt val="1"/>
        <c:crossBetween val="between"/>
        <c:dispUnits/>
      </c:valAx>
      <c:catAx>
        <c:axId val="11485083"/>
        <c:scaling>
          <c:orientation val="minMax"/>
        </c:scaling>
        <c:axPos val="b"/>
        <c:delete val="1"/>
        <c:majorTickMark val="out"/>
        <c:minorTickMark val="none"/>
        <c:tickLblPos val="nextTo"/>
        <c:crossAx val="36256884"/>
        <c:crosses val="autoZero"/>
        <c:auto val="1"/>
        <c:lblOffset val="100"/>
        <c:tickLblSkip val="1"/>
        <c:noMultiLvlLbl val="0"/>
      </c:catAx>
      <c:valAx>
        <c:axId val="36256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8508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75"/>
          <c:y val="0.94125"/>
          <c:w val="0.370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'!$G$40:$G$51</c:f>
              <c:numCache>
                <c:ptCount val="12"/>
                <c:pt idx="0">
                  <c:v>699</c:v>
                </c:pt>
                <c:pt idx="1">
                  <c:v>584</c:v>
                </c:pt>
                <c:pt idx="2">
                  <c:v>639</c:v>
                </c:pt>
                <c:pt idx="3">
                  <c:v>640</c:v>
                </c:pt>
                <c:pt idx="4">
                  <c:v>712</c:v>
                </c:pt>
                <c:pt idx="5">
                  <c:v>705</c:v>
                </c:pt>
                <c:pt idx="6">
                  <c:v>675</c:v>
                </c:pt>
                <c:pt idx="7">
                  <c:v>550</c:v>
                </c:pt>
                <c:pt idx="8">
                  <c:v>433</c:v>
                </c:pt>
                <c:pt idx="9">
                  <c:v>517</c:v>
                </c:pt>
                <c:pt idx="10">
                  <c:v>523</c:v>
                </c:pt>
                <c:pt idx="11">
                  <c:v>424</c:v>
                </c:pt>
              </c:numCache>
            </c:numRef>
          </c:val>
        </c:ser>
        <c:ser>
          <c:idx val="1"/>
          <c:order val="1"/>
          <c:tx>
            <c:strRef>
              <c:f>'Data '!$H$39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'!$H$40:$H$51</c:f>
              <c:numCache>
                <c:ptCount val="12"/>
                <c:pt idx="0">
                  <c:v>522</c:v>
                </c:pt>
                <c:pt idx="1">
                  <c:v>538</c:v>
                </c:pt>
              </c:numCache>
            </c:numRef>
          </c:val>
        </c:ser>
        <c:axId val="57876501"/>
        <c:axId val="51126462"/>
      </c:barChart>
      <c:lineChart>
        <c:grouping val="standard"/>
        <c:varyColors val="0"/>
        <c:ser>
          <c:idx val="2"/>
          <c:order val="2"/>
          <c:tx>
            <c:strRef>
              <c:f>'Data '!$I$39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'!$I$40:$I$51</c:f>
              <c:numCache>
                <c:ptCount val="12"/>
                <c:pt idx="0">
                  <c:v>-0.2532188841201717</c:v>
                </c:pt>
                <c:pt idx="1">
                  <c:v>-0.07876712328767123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7484975"/>
        <c:axId val="47602728"/>
      </c:lineChart>
      <c:catAx>
        <c:axId val="5787650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26462"/>
        <c:crosses val="autoZero"/>
        <c:auto val="1"/>
        <c:lblOffset val="100"/>
        <c:tickLblSkip val="1"/>
        <c:noMultiLvlLbl val="0"/>
      </c:catAx>
      <c:valAx>
        <c:axId val="5112646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76501"/>
        <c:crossesAt val="1"/>
        <c:crossBetween val="between"/>
        <c:dispUnits/>
      </c:valAx>
      <c:catAx>
        <c:axId val="57484975"/>
        <c:scaling>
          <c:orientation val="minMax"/>
        </c:scaling>
        <c:axPos val="b"/>
        <c:delete val="1"/>
        <c:majorTickMark val="out"/>
        <c:minorTickMark val="none"/>
        <c:tickLblPos val="nextTo"/>
        <c:crossAx val="47602728"/>
        <c:crosses val="autoZero"/>
        <c:auto val="1"/>
        <c:lblOffset val="100"/>
        <c:tickLblSkip val="1"/>
        <c:noMultiLvlLbl val="0"/>
      </c:catAx>
      <c:valAx>
        <c:axId val="47602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8497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'!$L$40:$L$51</c:f>
              <c:numCache>
                <c:ptCount val="12"/>
                <c:pt idx="0">
                  <c:v>1409</c:v>
                </c:pt>
                <c:pt idx="1">
                  <c:v>1492</c:v>
                </c:pt>
                <c:pt idx="2">
                  <c:v>1455</c:v>
                </c:pt>
                <c:pt idx="3">
                  <c:v>1488</c:v>
                </c:pt>
                <c:pt idx="4">
                  <c:v>1484</c:v>
                </c:pt>
                <c:pt idx="5">
                  <c:v>1590</c:v>
                </c:pt>
                <c:pt idx="6">
                  <c:v>1581</c:v>
                </c:pt>
                <c:pt idx="7">
                  <c:v>1250</c:v>
                </c:pt>
                <c:pt idx="8">
                  <c:v>1051</c:v>
                </c:pt>
                <c:pt idx="9">
                  <c:v>1219</c:v>
                </c:pt>
                <c:pt idx="10">
                  <c:v>1280</c:v>
                </c:pt>
                <c:pt idx="11">
                  <c:v>1200</c:v>
                </c:pt>
              </c:numCache>
            </c:numRef>
          </c:val>
        </c:ser>
        <c:ser>
          <c:idx val="1"/>
          <c:order val="1"/>
          <c:tx>
            <c:strRef>
              <c:f>'Data '!$M$39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'!$M$40:$M$51</c:f>
              <c:numCache>
                <c:ptCount val="12"/>
                <c:pt idx="0">
                  <c:v>1334</c:v>
                </c:pt>
                <c:pt idx="1">
                  <c:v>1431</c:v>
                </c:pt>
              </c:numCache>
            </c:numRef>
          </c:val>
        </c:ser>
        <c:axId val="25771369"/>
        <c:axId val="30615730"/>
      </c:barChart>
      <c:lineChart>
        <c:grouping val="standard"/>
        <c:varyColors val="0"/>
        <c:ser>
          <c:idx val="2"/>
          <c:order val="2"/>
          <c:tx>
            <c:strRef>
              <c:f>'Data '!$N$39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'!$N$40:$N$51</c:f>
              <c:numCache>
                <c:ptCount val="12"/>
                <c:pt idx="0">
                  <c:v>-0.053229240596167494</c:v>
                </c:pt>
                <c:pt idx="1">
                  <c:v>-0.04088471849865952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7106115"/>
        <c:axId val="63955036"/>
      </c:lineChart>
      <c:catAx>
        <c:axId val="2577136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15730"/>
        <c:crosses val="autoZero"/>
        <c:auto val="1"/>
        <c:lblOffset val="100"/>
        <c:tickLblSkip val="1"/>
        <c:noMultiLvlLbl val="0"/>
      </c:catAx>
      <c:valAx>
        <c:axId val="3061573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71369"/>
        <c:crossesAt val="1"/>
        <c:crossBetween val="between"/>
        <c:dispUnits/>
      </c:valAx>
      <c:catAx>
        <c:axId val="7106115"/>
        <c:scaling>
          <c:orientation val="minMax"/>
        </c:scaling>
        <c:axPos val="b"/>
        <c:delete val="1"/>
        <c:majorTickMark val="out"/>
        <c:minorTickMark val="none"/>
        <c:tickLblPos val="nextTo"/>
        <c:crossAx val="63955036"/>
        <c:crosses val="autoZero"/>
        <c:auto val="1"/>
        <c:lblOffset val="100"/>
        <c:tickLblSkip val="1"/>
        <c:noMultiLvlLbl val="0"/>
      </c:catAx>
      <c:valAx>
        <c:axId val="63955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0611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'!$Q$40:$Q$51</c:f>
              <c:numCache>
                <c:ptCount val="12"/>
                <c:pt idx="0">
                  <c:v>1481</c:v>
                </c:pt>
                <c:pt idx="1">
                  <c:v>1476</c:v>
                </c:pt>
                <c:pt idx="2">
                  <c:v>1440</c:v>
                </c:pt>
                <c:pt idx="3">
                  <c:v>1389</c:v>
                </c:pt>
                <c:pt idx="4">
                  <c:v>1452</c:v>
                </c:pt>
                <c:pt idx="5">
                  <c:v>1617</c:v>
                </c:pt>
                <c:pt idx="6">
                  <c:v>1569</c:v>
                </c:pt>
                <c:pt idx="7">
                  <c:v>1267</c:v>
                </c:pt>
                <c:pt idx="8">
                  <c:v>1036</c:v>
                </c:pt>
                <c:pt idx="9">
                  <c:v>1255</c:v>
                </c:pt>
                <c:pt idx="10">
                  <c:v>1286</c:v>
                </c:pt>
                <c:pt idx="11">
                  <c:v>1197</c:v>
                </c:pt>
              </c:numCache>
            </c:numRef>
          </c:val>
        </c:ser>
        <c:ser>
          <c:idx val="1"/>
          <c:order val="1"/>
          <c:tx>
            <c:strRef>
              <c:f>'Data '!$R$39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'!$R$40:$R$51</c:f>
              <c:numCache>
                <c:ptCount val="12"/>
                <c:pt idx="0">
                  <c:v>1345</c:v>
                </c:pt>
                <c:pt idx="1">
                  <c:v>1428</c:v>
                </c:pt>
              </c:numCache>
            </c:numRef>
          </c:val>
        </c:ser>
        <c:axId val="38724413"/>
        <c:axId val="12975398"/>
      </c:barChart>
      <c:lineChart>
        <c:grouping val="standard"/>
        <c:varyColors val="0"/>
        <c:ser>
          <c:idx val="2"/>
          <c:order val="2"/>
          <c:tx>
            <c:strRef>
              <c:f>'Data '!$S$39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'!$S$40:$S$51</c:f>
              <c:numCache>
                <c:ptCount val="12"/>
                <c:pt idx="0">
                  <c:v>-0.09182984469952735</c:v>
                </c:pt>
                <c:pt idx="1">
                  <c:v>-0.032520325203252036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9669719"/>
        <c:axId val="44374288"/>
      </c:lineChart>
      <c:catAx>
        <c:axId val="3872441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75398"/>
        <c:crosses val="autoZero"/>
        <c:auto val="1"/>
        <c:lblOffset val="100"/>
        <c:tickLblSkip val="1"/>
        <c:noMultiLvlLbl val="0"/>
      </c:catAx>
      <c:valAx>
        <c:axId val="1297539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24413"/>
        <c:crossesAt val="1"/>
        <c:crossBetween val="between"/>
        <c:dispUnits/>
      </c:valAx>
      <c:catAx>
        <c:axId val="49669719"/>
        <c:scaling>
          <c:orientation val="minMax"/>
        </c:scaling>
        <c:axPos val="b"/>
        <c:delete val="1"/>
        <c:majorTickMark val="out"/>
        <c:minorTickMark val="none"/>
        <c:tickLblPos val="nextTo"/>
        <c:crossAx val="44374288"/>
        <c:crosses val="autoZero"/>
        <c:auto val="1"/>
        <c:lblOffset val="100"/>
        <c:tickLblSkip val="1"/>
        <c:noMultiLvlLbl val="0"/>
      </c:catAx>
      <c:valAx>
        <c:axId val="443742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6971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075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'!$V$40:$V$51</c:f>
              <c:numCache>
                <c:ptCount val="12"/>
                <c:pt idx="0">
                  <c:v>76</c:v>
                </c:pt>
                <c:pt idx="1">
                  <c:v>83</c:v>
                </c:pt>
                <c:pt idx="2">
                  <c:v>77</c:v>
                </c:pt>
                <c:pt idx="3">
                  <c:v>75</c:v>
                </c:pt>
                <c:pt idx="4">
                  <c:v>73</c:v>
                </c:pt>
                <c:pt idx="5">
                  <c:v>83</c:v>
                </c:pt>
                <c:pt idx="6">
                  <c:v>91</c:v>
                </c:pt>
                <c:pt idx="7">
                  <c:v>67</c:v>
                </c:pt>
                <c:pt idx="8">
                  <c:v>56</c:v>
                </c:pt>
                <c:pt idx="9">
                  <c:v>71</c:v>
                </c:pt>
                <c:pt idx="10">
                  <c:v>75</c:v>
                </c:pt>
                <c:pt idx="11">
                  <c:v>79</c:v>
                </c:pt>
              </c:numCache>
            </c:numRef>
          </c:val>
        </c:ser>
        <c:ser>
          <c:idx val="1"/>
          <c:order val="1"/>
          <c:tx>
            <c:strRef>
              <c:f>'Data '!$W$39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'!$W$40:$W$51</c:f>
              <c:numCache>
                <c:ptCount val="12"/>
                <c:pt idx="0">
                  <c:v>69</c:v>
                </c:pt>
                <c:pt idx="1">
                  <c:v>60</c:v>
                </c:pt>
              </c:numCache>
            </c:numRef>
          </c:val>
        </c:ser>
        <c:axId val="63824273"/>
        <c:axId val="37547546"/>
      </c:barChart>
      <c:lineChart>
        <c:grouping val="standard"/>
        <c:varyColors val="0"/>
        <c:ser>
          <c:idx val="2"/>
          <c:order val="2"/>
          <c:tx>
            <c:strRef>
              <c:f>'Data '!$X$39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'!$X$40:$X$51</c:f>
              <c:numCache>
                <c:ptCount val="12"/>
                <c:pt idx="0">
                  <c:v>-0.09210526315789473</c:v>
                </c:pt>
                <c:pt idx="1">
                  <c:v>-0.27710843373493976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383595"/>
        <c:axId val="21452356"/>
      </c:lineChart>
      <c:catAx>
        <c:axId val="6382427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47546"/>
        <c:crosses val="autoZero"/>
        <c:auto val="1"/>
        <c:lblOffset val="100"/>
        <c:tickLblSkip val="1"/>
        <c:noMultiLvlLbl val="0"/>
      </c:catAx>
      <c:valAx>
        <c:axId val="3754754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24273"/>
        <c:crossesAt val="1"/>
        <c:crossBetween val="between"/>
        <c:dispUnits/>
      </c:valAx>
      <c:catAx>
        <c:axId val="2383595"/>
        <c:scaling>
          <c:orientation val="minMax"/>
        </c:scaling>
        <c:axPos val="b"/>
        <c:delete val="1"/>
        <c:majorTickMark val="out"/>
        <c:minorTickMark val="none"/>
        <c:tickLblPos val="nextTo"/>
        <c:crossAx val="21452356"/>
        <c:crosses val="autoZero"/>
        <c:auto val="1"/>
        <c:lblOffset val="100"/>
        <c:tickLblSkip val="1"/>
        <c:noMultiLvlLbl val="0"/>
      </c:catAx>
      <c:valAx>
        <c:axId val="21452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359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'!$AA$40:$AA$51</c:f>
              <c:numCache>
                <c:ptCount val="12"/>
                <c:pt idx="0">
                  <c:v>72</c:v>
                </c:pt>
                <c:pt idx="1">
                  <c:v>76</c:v>
                </c:pt>
                <c:pt idx="2">
                  <c:v>70</c:v>
                </c:pt>
                <c:pt idx="3">
                  <c:v>67</c:v>
                </c:pt>
                <c:pt idx="4">
                  <c:v>72</c:v>
                </c:pt>
                <c:pt idx="5">
                  <c:v>102</c:v>
                </c:pt>
                <c:pt idx="6">
                  <c:v>83</c:v>
                </c:pt>
                <c:pt idx="7">
                  <c:v>75</c:v>
                </c:pt>
                <c:pt idx="8">
                  <c:v>60</c:v>
                </c:pt>
                <c:pt idx="9">
                  <c:v>73</c:v>
                </c:pt>
                <c:pt idx="10">
                  <c:v>76</c:v>
                </c:pt>
                <c:pt idx="11">
                  <c:v>71</c:v>
                </c:pt>
              </c:numCache>
            </c:numRef>
          </c:val>
        </c:ser>
        <c:ser>
          <c:idx val="1"/>
          <c:order val="1"/>
          <c:tx>
            <c:strRef>
              <c:f>'Data '!$AB$39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'!$AB$40:$AB$51</c:f>
              <c:numCache>
                <c:ptCount val="12"/>
                <c:pt idx="0">
                  <c:v>65</c:v>
                </c:pt>
                <c:pt idx="1">
                  <c:v>53</c:v>
                </c:pt>
              </c:numCache>
            </c:numRef>
          </c:val>
        </c:ser>
        <c:axId val="58853477"/>
        <c:axId val="59919246"/>
      </c:barChart>
      <c:lineChart>
        <c:grouping val="standard"/>
        <c:varyColors val="0"/>
        <c:ser>
          <c:idx val="2"/>
          <c:order val="2"/>
          <c:tx>
            <c:strRef>
              <c:f>'Data '!$AC$39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'!$AC$40:$AC$51</c:f>
              <c:numCache>
                <c:ptCount val="12"/>
                <c:pt idx="0">
                  <c:v>-0.09722222222222222</c:v>
                </c:pt>
                <c:pt idx="1">
                  <c:v>-0.3026315789473684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402303"/>
        <c:axId val="21620728"/>
      </c:lineChart>
      <c:catAx>
        <c:axId val="5885347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19246"/>
        <c:crosses val="autoZero"/>
        <c:auto val="1"/>
        <c:lblOffset val="100"/>
        <c:tickLblSkip val="1"/>
        <c:noMultiLvlLbl val="0"/>
      </c:catAx>
      <c:valAx>
        <c:axId val="5991924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53477"/>
        <c:crossesAt val="1"/>
        <c:crossBetween val="between"/>
        <c:dispUnits/>
      </c:valAx>
      <c:catAx>
        <c:axId val="2402303"/>
        <c:scaling>
          <c:orientation val="minMax"/>
        </c:scaling>
        <c:axPos val="b"/>
        <c:delete val="1"/>
        <c:majorTickMark val="out"/>
        <c:minorTickMark val="none"/>
        <c:tickLblPos val="nextTo"/>
        <c:crossAx val="21620728"/>
        <c:crosses val="autoZero"/>
        <c:auto val="1"/>
        <c:lblOffset val="100"/>
        <c:tickLblSkip val="1"/>
        <c:noMultiLvlLbl val="0"/>
      </c:catAx>
      <c:valAx>
        <c:axId val="21620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230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5"/>
          <c:y val="0.9415"/>
          <c:w val="0.369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ptCount val="12"/>
                <c:pt idx="0">
                  <c:v>237</c:v>
                </c:pt>
                <c:pt idx="1">
                  <c:v>244</c:v>
                </c:pt>
                <c:pt idx="2">
                  <c:v>230</c:v>
                </c:pt>
                <c:pt idx="3">
                  <c:v>241</c:v>
                </c:pt>
                <c:pt idx="4">
                  <c:v>243</c:v>
                </c:pt>
                <c:pt idx="5">
                  <c:v>244</c:v>
                </c:pt>
                <c:pt idx="6">
                  <c:v>225</c:v>
                </c:pt>
                <c:pt idx="7">
                  <c:v>214</c:v>
                </c:pt>
                <c:pt idx="8">
                  <c:v>196</c:v>
                </c:pt>
                <c:pt idx="9">
                  <c:v>217</c:v>
                </c:pt>
                <c:pt idx="10">
                  <c:v>208</c:v>
                </c:pt>
                <c:pt idx="11">
                  <c:v>230</c:v>
                </c:pt>
              </c:numCache>
            </c:numRef>
          </c:val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ptCount val="12"/>
                <c:pt idx="0">
                  <c:v>205</c:v>
                </c:pt>
                <c:pt idx="1">
                  <c:v>196</c:v>
                </c:pt>
              </c:numCache>
            </c:numRef>
          </c:val>
        </c:ser>
        <c:axId val="13342501"/>
        <c:axId val="52973646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ptCount val="12"/>
                <c:pt idx="0">
                  <c:v>-0.1350210970464135</c:v>
                </c:pt>
                <c:pt idx="1">
                  <c:v>-0.19672131147540983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7000767"/>
        <c:axId val="63006904"/>
      </c:lineChart>
      <c:catAx>
        <c:axId val="1334250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73646"/>
        <c:crosses val="autoZero"/>
        <c:auto val="1"/>
        <c:lblOffset val="100"/>
        <c:tickLblSkip val="1"/>
        <c:noMultiLvlLbl val="0"/>
      </c:catAx>
      <c:valAx>
        <c:axId val="5297364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42501"/>
        <c:crossesAt val="1"/>
        <c:crossBetween val="between"/>
        <c:dispUnits/>
      </c:valAx>
      <c:catAx>
        <c:axId val="7000767"/>
        <c:scaling>
          <c:orientation val="minMax"/>
        </c:scaling>
        <c:axPos val="b"/>
        <c:delete val="1"/>
        <c:majorTickMark val="out"/>
        <c:minorTickMark val="none"/>
        <c:tickLblPos val="nextTo"/>
        <c:crossAx val="63006904"/>
        <c:crosses val="autoZero"/>
        <c:auto val="1"/>
        <c:lblOffset val="100"/>
        <c:tickLblSkip val="1"/>
        <c:noMultiLvlLbl val="0"/>
      </c:catAx>
      <c:valAx>
        <c:axId val="63006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0076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5"/>
          <c:y val="0.9415"/>
          <c:w val="0.388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ptCount val="12"/>
                <c:pt idx="0">
                  <c:v>16</c:v>
                </c:pt>
                <c:pt idx="1">
                  <c:v>19</c:v>
                </c:pt>
                <c:pt idx="2">
                  <c:v>14</c:v>
                </c:pt>
                <c:pt idx="3">
                  <c:v>19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14</c:v>
                </c:pt>
                <c:pt idx="8">
                  <c:v>18</c:v>
                </c:pt>
                <c:pt idx="9">
                  <c:v>18</c:v>
                </c:pt>
                <c:pt idx="10">
                  <c:v>21</c:v>
                </c:pt>
                <c:pt idx="11">
                  <c:v>21</c:v>
                </c:pt>
              </c:numCache>
            </c:numRef>
          </c:val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ptCount val="12"/>
                <c:pt idx="0">
                  <c:v>12</c:v>
                </c:pt>
                <c:pt idx="1">
                  <c:v>14</c:v>
                </c:pt>
              </c:numCache>
            </c:numRef>
          </c:val>
        </c:ser>
        <c:axId val="30191225"/>
        <c:axId val="3285570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ptCount val="12"/>
                <c:pt idx="0">
                  <c:v>-0.25</c:v>
                </c:pt>
                <c:pt idx="1">
                  <c:v>-0.2631578947368421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9570131"/>
        <c:axId val="64804588"/>
      </c:lineChart>
      <c:catAx>
        <c:axId val="3019122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5570"/>
        <c:crosses val="autoZero"/>
        <c:auto val="1"/>
        <c:lblOffset val="100"/>
        <c:tickLblSkip val="1"/>
        <c:noMultiLvlLbl val="0"/>
      </c:catAx>
      <c:valAx>
        <c:axId val="328557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91225"/>
        <c:crossesAt val="1"/>
        <c:crossBetween val="between"/>
        <c:dispUnits/>
      </c:valAx>
      <c:catAx>
        <c:axId val="29570131"/>
        <c:scaling>
          <c:orientation val="minMax"/>
        </c:scaling>
        <c:axPos val="b"/>
        <c:delete val="1"/>
        <c:majorTickMark val="out"/>
        <c:minorTickMark val="none"/>
        <c:tickLblPos val="nextTo"/>
        <c:crossAx val="64804588"/>
        <c:crosses val="autoZero"/>
        <c:auto val="1"/>
        <c:lblOffset val="100"/>
        <c:tickLblSkip val="1"/>
        <c:noMultiLvlLbl val="0"/>
      </c:catAx>
      <c:valAx>
        <c:axId val="64804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7013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75"/>
          <c:y val="0.94175"/>
          <c:w val="0.368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ptCount val="12"/>
                <c:pt idx="0">
                  <c:v>19</c:v>
                </c:pt>
                <c:pt idx="1">
                  <c:v>20</c:v>
                </c:pt>
                <c:pt idx="2">
                  <c:v>16</c:v>
                </c:pt>
                <c:pt idx="3">
                  <c:v>20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15</c:v>
                </c:pt>
                <c:pt idx="8">
                  <c:v>18</c:v>
                </c:pt>
                <c:pt idx="9">
                  <c:v>17</c:v>
                </c:pt>
                <c:pt idx="10">
                  <c:v>18</c:v>
                </c:pt>
                <c:pt idx="11">
                  <c:v>21</c:v>
                </c:pt>
              </c:numCache>
            </c:numRef>
          </c:val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ptCount val="12"/>
                <c:pt idx="0">
                  <c:v>13</c:v>
                </c:pt>
                <c:pt idx="1">
                  <c:v>14</c:v>
                </c:pt>
              </c:numCache>
            </c:numRef>
          </c:val>
        </c:ser>
        <c:axId val="46370381"/>
        <c:axId val="14680246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ptCount val="12"/>
                <c:pt idx="0">
                  <c:v>-0.3157894736842105</c:v>
                </c:pt>
                <c:pt idx="1">
                  <c:v>-0.3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5013351"/>
        <c:axId val="48249248"/>
      </c:lineChart>
      <c:catAx>
        <c:axId val="4637038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80246"/>
        <c:crosses val="autoZero"/>
        <c:auto val="1"/>
        <c:lblOffset val="100"/>
        <c:tickLblSkip val="1"/>
        <c:noMultiLvlLbl val="0"/>
      </c:catAx>
      <c:valAx>
        <c:axId val="1468024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70381"/>
        <c:crossesAt val="1"/>
        <c:crossBetween val="between"/>
        <c:dispUnits/>
      </c:valAx>
      <c:catAx>
        <c:axId val="65013351"/>
        <c:scaling>
          <c:orientation val="minMax"/>
        </c:scaling>
        <c:axPos val="b"/>
        <c:delete val="1"/>
        <c:majorTickMark val="out"/>
        <c:minorTickMark val="none"/>
        <c:tickLblPos val="nextTo"/>
        <c:crossAx val="48249248"/>
        <c:crosses val="autoZero"/>
        <c:auto val="1"/>
        <c:lblOffset val="100"/>
        <c:tickLblSkip val="1"/>
        <c:noMultiLvlLbl val="0"/>
      </c:catAx>
      <c:valAx>
        <c:axId val="48249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1335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9415"/>
          <c:w val="0.38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ptCount val="12"/>
                <c:pt idx="0">
                  <c:v>98</c:v>
                </c:pt>
                <c:pt idx="1">
                  <c:v>94</c:v>
                </c:pt>
                <c:pt idx="2">
                  <c:v>87</c:v>
                </c:pt>
                <c:pt idx="3">
                  <c:v>96</c:v>
                </c:pt>
                <c:pt idx="4">
                  <c:v>93</c:v>
                </c:pt>
                <c:pt idx="5">
                  <c:v>89</c:v>
                </c:pt>
                <c:pt idx="6">
                  <c:v>91</c:v>
                </c:pt>
                <c:pt idx="7">
                  <c:v>76</c:v>
                </c:pt>
                <c:pt idx="8">
                  <c:v>69</c:v>
                </c:pt>
                <c:pt idx="9">
                  <c:v>110</c:v>
                </c:pt>
                <c:pt idx="10">
                  <c:v>97</c:v>
                </c:pt>
                <c:pt idx="11">
                  <c:v>97</c:v>
                </c:pt>
              </c:numCache>
            </c:numRef>
          </c:val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ptCount val="12"/>
                <c:pt idx="0">
                  <c:v>91</c:v>
                </c:pt>
                <c:pt idx="1">
                  <c:v>98</c:v>
                </c:pt>
              </c:numCache>
            </c:numRef>
          </c:val>
        </c:ser>
        <c:axId val="31590049"/>
        <c:axId val="15874986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ptCount val="12"/>
                <c:pt idx="0">
                  <c:v>-0.07142857142857142</c:v>
                </c:pt>
                <c:pt idx="1">
                  <c:v>0.0425531914893617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8657147"/>
        <c:axId val="10805460"/>
      </c:lineChart>
      <c:catAx>
        <c:axId val="3159004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74986"/>
        <c:crosses val="autoZero"/>
        <c:auto val="1"/>
        <c:lblOffset val="100"/>
        <c:tickLblSkip val="1"/>
        <c:noMultiLvlLbl val="0"/>
      </c:catAx>
      <c:valAx>
        <c:axId val="1587498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90049"/>
        <c:crossesAt val="1"/>
        <c:crossBetween val="between"/>
        <c:dispUnits/>
      </c:valAx>
      <c:catAx>
        <c:axId val="8657147"/>
        <c:scaling>
          <c:orientation val="minMax"/>
        </c:scaling>
        <c:axPos val="b"/>
        <c:delete val="1"/>
        <c:majorTickMark val="out"/>
        <c:minorTickMark val="none"/>
        <c:tickLblPos val="nextTo"/>
        <c:crossAx val="10805460"/>
        <c:crosses val="autoZero"/>
        <c:auto val="1"/>
        <c:lblOffset val="100"/>
        <c:tickLblSkip val="1"/>
        <c:noMultiLvlLbl val="0"/>
      </c:catAx>
      <c:valAx>
        <c:axId val="10805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5714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2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ptCount val="12"/>
                <c:pt idx="0">
                  <c:v>93</c:v>
                </c:pt>
                <c:pt idx="1">
                  <c:v>97</c:v>
                </c:pt>
                <c:pt idx="2">
                  <c:v>84</c:v>
                </c:pt>
                <c:pt idx="3">
                  <c:v>93</c:v>
                </c:pt>
                <c:pt idx="4">
                  <c:v>87</c:v>
                </c:pt>
                <c:pt idx="5">
                  <c:v>88</c:v>
                </c:pt>
                <c:pt idx="6">
                  <c:v>94</c:v>
                </c:pt>
                <c:pt idx="7">
                  <c:v>84</c:v>
                </c:pt>
                <c:pt idx="8">
                  <c:v>84</c:v>
                </c:pt>
                <c:pt idx="9">
                  <c:v>92</c:v>
                </c:pt>
                <c:pt idx="10">
                  <c:v>97</c:v>
                </c:pt>
                <c:pt idx="11">
                  <c:v>109</c:v>
                </c:pt>
              </c:numCache>
            </c:numRef>
          </c:val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ptCount val="12"/>
                <c:pt idx="0">
                  <c:v>86</c:v>
                </c:pt>
                <c:pt idx="1">
                  <c:v>88</c:v>
                </c:pt>
              </c:numCache>
            </c:numRef>
          </c:val>
        </c:ser>
        <c:axId val="30140277"/>
        <c:axId val="2827038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ptCount val="12"/>
                <c:pt idx="0">
                  <c:v>-0.07526881720430108</c:v>
                </c:pt>
                <c:pt idx="1">
                  <c:v>-0.09278350515463918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5443343"/>
        <c:axId val="27663496"/>
      </c:lineChart>
      <c:catAx>
        <c:axId val="3014027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7038"/>
        <c:crosses val="autoZero"/>
        <c:auto val="1"/>
        <c:lblOffset val="100"/>
        <c:tickLblSkip val="1"/>
        <c:noMultiLvlLbl val="0"/>
      </c:catAx>
      <c:valAx>
        <c:axId val="282703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40277"/>
        <c:crossesAt val="1"/>
        <c:crossBetween val="between"/>
        <c:dispUnits/>
      </c:valAx>
      <c:catAx>
        <c:axId val="25443343"/>
        <c:scaling>
          <c:orientation val="minMax"/>
        </c:scaling>
        <c:axPos val="b"/>
        <c:delete val="1"/>
        <c:majorTickMark val="out"/>
        <c:minorTickMark val="none"/>
        <c:tickLblPos val="nextTo"/>
        <c:crossAx val="27663496"/>
        <c:crosses val="autoZero"/>
        <c:auto val="1"/>
        <c:lblOffset val="100"/>
        <c:tickLblSkip val="1"/>
        <c:noMultiLvlLbl val="0"/>
      </c:catAx>
      <c:valAx>
        <c:axId val="276634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4334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'!$B$23:$B$34</c:f>
              <c:numCache>
                <c:ptCount val="12"/>
                <c:pt idx="0">
                  <c:v>35</c:v>
                </c:pt>
                <c:pt idx="1">
                  <c:v>39</c:v>
                </c:pt>
                <c:pt idx="2">
                  <c:v>34</c:v>
                </c:pt>
                <c:pt idx="3">
                  <c:v>34</c:v>
                </c:pt>
                <c:pt idx="4">
                  <c:v>37</c:v>
                </c:pt>
                <c:pt idx="5">
                  <c:v>44</c:v>
                </c:pt>
                <c:pt idx="6">
                  <c:v>44</c:v>
                </c:pt>
                <c:pt idx="7">
                  <c:v>33</c:v>
                </c:pt>
                <c:pt idx="8">
                  <c:v>30</c:v>
                </c:pt>
                <c:pt idx="9">
                  <c:v>37</c:v>
                </c:pt>
                <c:pt idx="10">
                  <c:v>36</c:v>
                </c:pt>
                <c:pt idx="11">
                  <c:v>42</c:v>
                </c:pt>
              </c:numCache>
            </c:numRef>
          </c:val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'!$C$23:$C$34</c:f>
              <c:numCache>
                <c:ptCount val="12"/>
                <c:pt idx="0">
                  <c:v>30</c:v>
                </c:pt>
                <c:pt idx="1">
                  <c:v>32</c:v>
                </c:pt>
              </c:numCache>
            </c:numRef>
          </c:val>
        </c:ser>
        <c:axId val="47644873"/>
        <c:axId val="26150674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'!$D$23:$D$34</c:f>
              <c:numCache>
                <c:ptCount val="12"/>
                <c:pt idx="0">
                  <c:v>-0.14285714285714285</c:v>
                </c:pt>
                <c:pt idx="1">
                  <c:v>-0.1794871794871795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4029475"/>
        <c:axId val="37829820"/>
      </c:lineChart>
      <c:catAx>
        <c:axId val="4764487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50674"/>
        <c:crosses val="autoZero"/>
        <c:auto val="1"/>
        <c:lblOffset val="100"/>
        <c:tickLblSkip val="1"/>
        <c:noMultiLvlLbl val="0"/>
      </c:catAx>
      <c:valAx>
        <c:axId val="2615067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44873"/>
        <c:crossesAt val="1"/>
        <c:crossBetween val="between"/>
        <c:dispUnits/>
      </c:valAx>
      <c:catAx>
        <c:axId val="34029475"/>
        <c:scaling>
          <c:orientation val="minMax"/>
        </c:scaling>
        <c:axPos val="b"/>
        <c:delete val="1"/>
        <c:majorTickMark val="out"/>
        <c:minorTickMark val="none"/>
        <c:tickLblPos val="nextTo"/>
        <c:crossAx val="37829820"/>
        <c:crosses val="autoZero"/>
        <c:auto val="1"/>
        <c:lblOffset val="100"/>
        <c:tickLblSkip val="1"/>
        <c:noMultiLvlLbl val="0"/>
      </c:catAx>
      <c:valAx>
        <c:axId val="37829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2947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'!$G$23:$G$34</c:f>
              <c:numCache>
                <c:ptCount val="12"/>
                <c:pt idx="0">
                  <c:v>31</c:v>
                </c:pt>
                <c:pt idx="1">
                  <c:v>34</c:v>
                </c:pt>
                <c:pt idx="2">
                  <c:v>35</c:v>
                </c:pt>
                <c:pt idx="3">
                  <c:v>33</c:v>
                </c:pt>
                <c:pt idx="4">
                  <c:v>39</c:v>
                </c:pt>
                <c:pt idx="5">
                  <c:v>44</c:v>
                </c:pt>
                <c:pt idx="6">
                  <c:v>35</c:v>
                </c:pt>
                <c:pt idx="7">
                  <c:v>30</c:v>
                </c:pt>
                <c:pt idx="8">
                  <c:v>35</c:v>
                </c:pt>
                <c:pt idx="9">
                  <c:v>38</c:v>
                </c:pt>
                <c:pt idx="10">
                  <c:v>37</c:v>
                </c:pt>
                <c:pt idx="11">
                  <c:v>48</c:v>
                </c:pt>
              </c:numCache>
            </c:numRef>
          </c:val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'!$H$23:$H$34</c:f>
              <c:numCache>
                <c:ptCount val="12"/>
                <c:pt idx="0">
                  <c:v>26</c:v>
                </c:pt>
                <c:pt idx="1">
                  <c:v>26</c:v>
                </c:pt>
              </c:numCache>
            </c:numRef>
          </c:val>
        </c:ser>
        <c:axId val="4924061"/>
        <c:axId val="44316550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'!$I$23:$I$34</c:f>
              <c:numCache>
                <c:ptCount val="12"/>
                <c:pt idx="0">
                  <c:v>-0.16129032258064516</c:v>
                </c:pt>
                <c:pt idx="1">
                  <c:v>-0.23529411764705882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3304631"/>
        <c:axId val="32870768"/>
      </c:lineChart>
      <c:catAx>
        <c:axId val="492406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16550"/>
        <c:crosses val="autoZero"/>
        <c:auto val="1"/>
        <c:lblOffset val="100"/>
        <c:tickLblSkip val="1"/>
        <c:noMultiLvlLbl val="0"/>
      </c:catAx>
      <c:valAx>
        <c:axId val="4431655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4061"/>
        <c:crossesAt val="1"/>
        <c:crossBetween val="between"/>
        <c:dispUnits/>
      </c:valAx>
      <c:catAx>
        <c:axId val="63304631"/>
        <c:scaling>
          <c:orientation val="minMax"/>
        </c:scaling>
        <c:axPos val="b"/>
        <c:delete val="1"/>
        <c:majorTickMark val="out"/>
        <c:minorTickMark val="none"/>
        <c:tickLblPos val="nextTo"/>
        <c:crossAx val="32870768"/>
        <c:crosses val="autoZero"/>
        <c:auto val="1"/>
        <c:lblOffset val="100"/>
        <c:tickLblSkip val="1"/>
        <c:noMultiLvlLbl val="0"/>
      </c:catAx>
      <c:valAx>
        <c:axId val="328707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0463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'!$L$23:$L$34</c:f>
              <c:numCache>
                <c:ptCount val="12"/>
                <c:pt idx="0">
                  <c:v>56</c:v>
                </c:pt>
                <c:pt idx="1">
                  <c:v>52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58</c:v>
                </c:pt>
                <c:pt idx="6">
                  <c:v>64</c:v>
                </c:pt>
                <c:pt idx="7">
                  <c:v>49</c:v>
                </c:pt>
                <c:pt idx="8">
                  <c:v>39</c:v>
                </c:pt>
                <c:pt idx="9">
                  <c:v>60</c:v>
                </c:pt>
                <c:pt idx="10">
                  <c:v>56</c:v>
                </c:pt>
                <c:pt idx="11">
                  <c:v>63</c:v>
                </c:pt>
              </c:numCache>
            </c:numRef>
          </c:val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'!$M$23:$M$34</c:f>
              <c:numCache>
                <c:ptCount val="12"/>
                <c:pt idx="0">
                  <c:v>52</c:v>
                </c:pt>
                <c:pt idx="1">
                  <c:v>49</c:v>
                </c:pt>
              </c:numCache>
            </c:numRef>
          </c:val>
        </c:ser>
        <c:axId val="27401457"/>
        <c:axId val="45286522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'!$N$23:$N$34</c:f>
              <c:numCache>
                <c:ptCount val="12"/>
                <c:pt idx="0">
                  <c:v>-0.07142857142857142</c:v>
                </c:pt>
                <c:pt idx="1">
                  <c:v>-0.057692307692307696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925515"/>
        <c:axId val="44329636"/>
      </c:lineChart>
      <c:catAx>
        <c:axId val="2740145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86522"/>
        <c:crosses val="autoZero"/>
        <c:auto val="1"/>
        <c:lblOffset val="100"/>
        <c:tickLblSkip val="1"/>
        <c:noMultiLvlLbl val="0"/>
      </c:catAx>
      <c:valAx>
        <c:axId val="4528652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01457"/>
        <c:crossesAt val="1"/>
        <c:crossBetween val="between"/>
        <c:dispUnits/>
      </c:valAx>
      <c:catAx>
        <c:axId val="4925515"/>
        <c:scaling>
          <c:orientation val="minMax"/>
        </c:scaling>
        <c:axPos val="b"/>
        <c:delete val="1"/>
        <c:majorTickMark val="out"/>
        <c:minorTickMark val="none"/>
        <c:tickLblPos val="nextTo"/>
        <c:crossAx val="44329636"/>
        <c:crosses val="autoZero"/>
        <c:auto val="1"/>
        <c:lblOffset val="100"/>
        <c:tickLblSkip val="1"/>
        <c:noMultiLvlLbl val="0"/>
      </c:catAx>
      <c:valAx>
        <c:axId val="44329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551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UcEybvgkg2lypzrKNMDh34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yeUDndiupP4zBRxWZrqJL7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ygZ9Akq1OiCCQVK1I0EV8T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0</xdr:rowOff>
    </xdr:from>
    <xdr:to>
      <xdr:col>15</xdr:col>
      <xdr:colOff>142875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600075" y="876300"/>
        <a:ext cx="8686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161925</xdr:colOff>
      <xdr:row>29</xdr:row>
      <xdr:rowOff>142875</xdr:rowOff>
    </xdr:to>
    <xdr:graphicFrame>
      <xdr:nvGraphicFramePr>
        <xdr:cNvPr id="3" name="Chart 3"/>
        <xdr:cNvGraphicFramePr/>
      </xdr:nvGraphicFramePr>
      <xdr:xfrm>
        <a:off x="10363200" y="876300"/>
        <a:ext cx="86963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161925</xdr:colOff>
      <xdr:row>57</xdr:row>
      <xdr:rowOff>142875</xdr:rowOff>
    </xdr:to>
    <xdr:graphicFrame>
      <xdr:nvGraphicFramePr>
        <xdr:cNvPr id="5" name="Chart 5"/>
        <xdr:cNvGraphicFramePr/>
      </xdr:nvGraphicFramePr>
      <xdr:xfrm>
        <a:off x="609600" y="5410200"/>
        <a:ext cx="869632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>
      <xdr:nvSpPr>
        <xdr:cNvPr id="6" name="Rectangle 6"/>
        <xdr:cNvSpPr>
          <a:spLocks/>
        </xdr:cNvSpPr>
      </xdr:nvSpPr>
      <xdr:spPr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>
      <xdr:nvGraphicFramePr>
        <xdr:cNvPr id="7" name="Chart 7"/>
        <xdr:cNvGraphicFramePr/>
      </xdr:nvGraphicFramePr>
      <xdr:xfrm>
        <a:off x="10363200" y="5410200"/>
        <a:ext cx="87058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>
      <xdr:nvSpPr>
        <xdr:cNvPr id="8" name="Rectangle 10"/>
        <xdr:cNvSpPr>
          <a:spLocks/>
        </xdr:cNvSpPr>
      </xdr:nvSpPr>
      <xdr:spPr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gEC7Nh0RvPQQZMJKxJvfcx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yMZGiDiNXY2s1jW1YbNFTf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152400</xdr:rowOff>
    </xdr:from>
    <xdr:to>
      <xdr:col>15</xdr:col>
      <xdr:colOff>28575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00075" y="866775"/>
        <a:ext cx="8572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3</xdr:row>
      <xdr:rowOff>85725</xdr:rowOff>
    </xdr:from>
    <xdr:to>
      <xdr:col>10</xdr:col>
      <xdr:colOff>323850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47625</xdr:colOff>
      <xdr:row>29</xdr:row>
      <xdr:rowOff>57150</xdr:rowOff>
    </xdr:to>
    <xdr:graphicFrame>
      <xdr:nvGraphicFramePr>
        <xdr:cNvPr id="3" name="Chart 3"/>
        <xdr:cNvGraphicFramePr/>
      </xdr:nvGraphicFramePr>
      <xdr:xfrm>
        <a:off x="10363200" y="876300"/>
        <a:ext cx="85820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qqd9840KZSVqFDDdCY3n1L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WY0CcXIq4QZEPyWrcm04iK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Hqf6nunFRKSEue8vR21zN4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r1N4hbMHnWschAm6Ad2pZe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3LnqXHAuPVG1RYD37CdtwI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Mb4HiGuY3JWDYeiidbT9nV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bhXy9LsNwo5ceC0AT5coTJ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15</xdr:col>
      <xdr:colOff>85725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609600" y="876300"/>
        <a:ext cx="86201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257175</xdr:colOff>
      <xdr:row>6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10363200" y="876300"/>
        <a:ext cx="86296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>
      <xdr:nvGraphicFramePr>
        <xdr:cNvPr id="5" name="Chart 5"/>
        <xdr:cNvGraphicFramePr/>
      </xdr:nvGraphicFramePr>
      <xdr:xfrm>
        <a:off x="609600" y="5572125"/>
        <a:ext cx="86296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523875</xdr:colOff>
      <xdr:row>32</xdr:row>
      <xdr:rowOff>104775</xdr:rowOff>
    </xdr:from>
    <xdr:to>
      <xdr:col>10</xdr:col>
      <xdr:colOff>285750</xdr:colOff>
      <xdr:row>35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104775</xdr:colOff>
      <xdr:row>58</xdr:row>
      <xdr:rowOff>104775</xdr:rowOff>
    </xdr:to>
    <xdr:graphicFrame>
      <xdr:nvGraphicFramePr>
        <xdr:cNvPr id="7" name="Chart 7"/>
        <xdr:cNvGraphicFramePr/>
      </xdr:nvGraphicFramePr>
      <xdr:xfrm>
        <a:off x="10363200" y="5572125"/>
        <a:ext cx="863917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104775</xdr:colOff>
      <xdr:row>86</xdr:row>
      <xdr:rowOff>104775</xdr:rowOff>
    </xdr:to>
    <xdr:graphicFrame>
      <xdr:nvGraphicFramePr>
        <xdr:cNvPr id="9" name="Chart 9"/>
        <xdr:cNvGraphicFramePr/>
      </xdr:nvGraphicFramePr>
      <xdr:xfrm>
        <a:off x="609600" y="10106025"/>
        <a:ext cx="8639175" cy="3990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523875</xdr:colOff>
      <xdr:row>60</xdr:row>
      <xdr:rowOff>47625</xdr:rowOff>
    </xdr:from>
    <xdr:to>
      <xdr:col>10</xdr:col>
      <xdr:colOff>285750</xdr:colOff>
      <xdr:row>62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28575</xdr:rowOff>
    </xdr:to>
    <xdr:graphicFrame>
      <xdr:nvGraphicFramePr>
        <xdr:cNvPr id="11" name="Chart 11"/>
        <xdr:cNvGraphicFramePr/>
      </xdr:nvGraphicFramePr>
      <xdr:xfrm>
        <a:off x="10344150" y="10020300"/>
        <a:ext cx="8648700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>
      <xdr:nvSpPr>
        <xdr:cNvPr id="12" name="Rectangle 12"/>
        <xdr:cNvSpPr>
          <a:spLocks/>
        </xdr:cNvSpPr>
      </xdr:nvSpPr>
      <xdr:spPr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Dv32LANUn29P9TaKxzJLcq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SnIs7JF14zyk8SnVV0HVxD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R2PKTn4EJLwcCFjit3fmYz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hOKhnCDJ3hSewFDmPiWqQM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114300</xdr:rowOff>
    </xdr:from>
    <xdr:to>
      <xdr:col>15</xdr:col>
      <xdr:colOff>66675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542925" y="828675"/>
        <a:ext cx="8667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542925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438150</xdr:colOff>
      <xdr:row>4</xdr:row>
      <xdr:rowOff>142875</xdr:rowOff>
    </xdr:from>
    <xdr:to>
      <xdr:col>31</xdr:col>
      <xdr:colOff>123825</xdr:colOff>
      <xdr:row>29</xdr:row>
      <xdr:rowOff>85725</xdr:rowOff>
    </xdr:to>
    <xdr:graphicFrame>
      <xdr:nvGraphicFramePr>
        <xdr:cNvPr id="3" name="Chart 3"/>
        <xdr:cNvGraphicFramePr/>
      </xdr:nvGraphicFramePr>
      <xdr:xfrm>
        <a:off x="10801350" y="857250"/>
        <a:ext cx="82200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142875</xdr:colOff>
      <xdr:row>59</xdr:row>
      <xdr:rowOff>123825</xdr:rowOff>
    </xdr:to>
    <xdr:graphicFrame>
      <xdr:nvGraphicFramePr>
        <xdr:cNvPr id="5" name="Chart 6"/>
        <xdr:cNvGraphicFramePr/>
      </xdr:nvGraphicFramePr>
      <xdr:xfrm>
        <a:off x="609600" y="5734050"/>
        <a:ext cx="86772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542925</xdr:colOff>
      <xdr:row>36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504825</xdr:colOff>
      <xdr:row>35</xdr:row>
      <xdr:rowOff>0</xdr:rowOff>
    </xdr:from>
    <xdr:to>
      <xdr:col>31</xdr:col>
      <xdr:colOff>219075</xdr:colOff>
      <xdr:row>59</xdr:row>
      <xdr:rowOff>114300</xdr:rowOff>
    </xdr:to>
    <xdr:graphicFrame>
      <xdr:nvGraphicFramePr>
        <xdr:cNvPr id="7" name="Chart 8"/>
        <xdr:cNvGraphicFramePr/>
      </xdr:nvGraphicFramePr>
      <xdr:xfrm>
        <a:off x="10868025" y="5734050"/>
        <a:ext cx="824865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66675</xdr:colOff>
      <xdr:row>33</xdr:row>
      <xdr:rowOff>76200</xdr:rowOff>
    </xdr:from>
    <xdr:to>
      <xdr:col>27</xdr:col>
      <xdr:colOff>438150</xdr:colOff>
      <xdr:row>36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>
      <xdr:nvGraphicFramePr>
        <xdr:cNvPr id="9" name="Chart 11"/>
        <xdr:cNvGraphicFramePr/>
      </xdr:nvGraphicFramePr>
      <xdr:xfrm>
        <a:off x="609600" y="10429875"/>
        <a:ext cx="8686800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542925</xdr:colOff>
      <xdr:row>65</xdr:row>
      <xdr:rowOff>28575</xdr:rowOff>
    </xdr:to>
    <xdr:sp>
      <xdr:nvSpPr>
        <xdr:cNvPr id="10" name="Rectangle 12"/>
        <xdr:cNvSpPr>
          <a:spLocks/>
        </xdr:cNvSpPr>
      </xdr:nvSpPr>
      <xdr:spPr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161925</xdr:colOff>
      <xdr:row>88</xdr:row>
      <xdr:rowOff>142875</xdr:rowOff>
    </xdr:to>
    <xdr:graphicFrame>
      <xdr:nvGraphicFramePr>
        <xdr:cNvPr id="11" name="Chart 13"/>
        <xdr:cNvGraphicFramePr/>
      </xdr:nvGraphicFramePr>
      <xdr:xfrm>
        <a:off x="10972800" y="10429875"/>
        <a:ext cx="869632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123825</xdr:colOff>
      <xdr:row>62</xdr:row>
      <xdr:rowOff>104775</xdr:rowOff>
    </xdr:from>
    <xdr:to>
      <xdr:col>27</xdr:col>
      <xdr:colOff>495300</xdr:colOff>
      <xdr:row>65</xdr:row>
      <xdr:rowOff>28575</xdr:rowOff>
    </xdr:to>
    <xdr:sp>
      <xdr:nvSpPr>
        <xdr:cNvPr id="12" name="Rectangle 14"/>
        <xdr:cNvSpPr>
          <a:spLocks/>
        </xdr:cNvSpPr>
      </xdr:nvSpPr>
      <xdr:spPr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'000))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OVgHBDxDFbFhL0ZCZr00Ie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jo9EE6dWpxJu0P1F1ZbpBH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28125" style="0" bestFit="1" customWidth="1"/>
    <col min="3" max="3" width="11.421875" style="0" bestFit="1" customWidth="1"/>
    <col min="4" max="4" width="14.421875" style="0" bestFit="1" customWidth="1"/>
    <col min="7" max="7" width="11.28125" style="0" bestFit="1" customWidth="1"/>
    <col min="8" max="8" width="11.421875" style="0" bestFit="1" customWidth="1"/>
    <col min="9" max="9" width="14.421875" style="0" bestFit="1" customWidth="1"/>
    <col min="12" max="12" width="11.28125" style="0" bestFit="1" customWidth="1"/>
    <col min="13" max="13" width="11.421875" style="0" bestFit="1" customWidth="1"/>
    <col min="14" max="14" width="14.421875" style="0" bestFit="1" customWidth="1"/>
    <col min="17" max="18" width="11.28125" style="0" bestFit="1" customWidth="1"/>
    <col min="19" max="19" width="14.421875" style="0" bestFit="1" customWidth="1"/>
    <col min="22" max="23" width="10.421875" style="0" bestFit="1" customWidth="1"/>
    <col min="24" max="24" width="14.421875" style="0" bestFit="1" customWidth="1"/>
    <col min="27" max="28" width="10.421875" style="0" bestFit="1" customWidth="1"/>
    <col min="29" max="29" width="14.421875" style="0" bestFit="1" customWidth="1"/>
  </cols>
  <sheetData>
    <row r="1" spans="1:19" ht="12.75">
      <c r="A1" s="11" t="s">
        <v>36</v>
      </c>
      <c r="S1">
        <v>1000</v>
      </c>
    </row>
    <row r="2" spans="1:26" ht="12.75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2:29" ht="12.75">
      <c r="B3" s="3" t="s">
        <v>43</v>
      </c>
      <c r="C3" s="3" t="s">
        <v>44</v>
      </c>
      <c r="D3" s="3" t="s">
        <v>12</v>
      </c>
      <c r="G3" s="3" t="s">
        <v>43</v>
      </c>
      <c r="H3" s="3" t="s">
        <v>44</v>
      </c>
      <c r="I3" s="3" t="s">
        <v>12</v>
      </c>
      <c r="L3" s="3" t="s">
        <v>43</v>
      </c>
      <c r="M3" s="3" t="s">
        <v>44</v>
      </c>
      <c r="N3" s="3" t="s">
        <v>12</v>
      </c>
      <c r="Q3" s="3" t="s">
        <v>43</v>
      </c>
      <c r="R3" s="3" t="s">
        <v>44</v>
      </c>
      <c r="S3" s="3" t="s">
        <v>12</v>
      </c>
      <c r="V3" s="3" t="s">
        <v>43</v>
      </c>
      <c r="W3" s="3" t="s">
        <v>44</v>
      </c>
      <c r="X3" s="3" t="s">
        <v>12</v>
      </c>
      <c r="AA3" s="3" t="s">
        <v>43</v>
      </c>
      <c r="AB3" s="3" t="s">
        <v>44</v>
      </c>
      <c r="AC3" s="3" t="s">
        <v>12</v>
      </c>
    </row>
    <row r="4" spans="1:29" ht="12.75">
      <c r="A4" t="s">
        <v>0</v>
      </c>
      <c r="B4" s="5">
        <v>232</v>
      </c>
      <c r="C4" s="5">
        <v>217</v>
      </c>
      <c r="D4" s="4">
        <f aca="true" t="shared" si="0" ref="D4:D15">(C4-B4)/B4</f>
        <v>-0.06465517241379311</v>
      </c>
      <c r="F4" t="s">
        <v>0</v>
      </c>
      <c r="G4" s="5">
        <v>237</v>
      </c>
      <c r="H4" s="5">
        <v>205</v>
      </c>
      <c r="I4" s="4">
        <f aca="true" t="shared" si="1" ref="I4:I15">(H4-G4)/G4</f>
        <v>-0.1350210970464135</v>
      </c>
      <c r="K4" t="s">
        <v>0</v>
      </c>
      <c r="L4" s="5">
        <v>16</v>
      </c>
      <c r="M4" s="5">
        <v>12</v>
      </c>
      <c r="N4" s="4">
        <f aca="true" t="shared" si="2" ref="N4:N15">(M4-L4)/L4</f>
        <v>-0.25</v>
      </c>
      <c r="P4" t="s">
        <v>0</v>
      </c>
      <c r="Q4" s="5">
        <v>19</v>
      </c>
      <c r="R4" s="5">
        <v>13</v>
      </c>
      <c r="S4" s="4">
        <f aca="true" t="shared" si="3" ref="S4:S15">(R4-Q4)/Q4</f>
        <v>-0.3157894736842105</v>
      </c>
      <c r="U4" t="s">
        <v>0</v>
      </c>
      <c r="V4" s="5">
        <v>98</v>
      </c>
      <c r="W4" s="5">
        <v>91</v>
      </c>
      <c r="X4" s="4">
        <f aca="true" t="shared" si="4" ref="X4:X15">(W4-V4)/V4</f>
        <v>-0.07142857142857142</v>
      </c>
      <c r="Z4" t="s">
        <v>0</v>
      </c>
      <c r="AA4" s="5">
        <v>93</v>
      </c>
      <c r="AB4" s="5">
        <v>86</v>
      </c>
      <c r="AC4" s="4">
        <f aca="true" t="shared" si="5" ref="AC4:AC15">(AB4-AA4)/AA4</f>
        <v>-0.07526881720430108</v>
      </c>
    </row>
    <row r="5" spans="1:29" ht="12.75">
      <c r="A5" t="s">
        <v>1</v>
      </c>
      <c r="B5" s="5">
        <v>246</v>
      </c>
      <c r="C5" s="5">
        <v>204</v>
      </c>
      <c r="D5" s="4">
        <f t="shared" si="0"/>
        <v>-0.17073170731707318</v>
      </c>
      <c r="F5" t="s">
        <v>1</v>
      </c>
      <c r="G5" s="5">
        <v>244</v>
      </c>
      <c r="H5" s="5">
        <v>196</v>
      </c>
      <c r="I5" s="4">
        <f t="shared" si="1"/>
        <v>-0.19672131147540983</v>
      </c>
      <c r="K5" t="s">
        <v>1</v>
      </c>
      <c r="L5" s="5">
        <v>19</v>
      </c>
      <c r="M5" s="5">
        <v>14</v>
      </c>
      <c r="N5" s="4">
        <f t="shared" si="2"/>
        <v>-0.2631578947368421</v>
      </c>
      <c r="P5" t="s">
        <v>1</v>
      </c>
      <c r="Q5" s="5">
        <v>20</v>
      </c>
      <c r="R5" s="5">
        <v>14</v>
      </c>
      <c r="S5" s="4">
        <f t="shared" si="3"/>
        <v>-0.3</v>
      </c>
      <c r="U5" t="s">
        <v>1</v>
      </c>
      <c r="V5" s="5">
        <v>94</v>
      </c>
      <c r="W5" s="5">
        <v>98</v>
      </c>
      <c r="X5" s="4">
        <f t="shared" si="4"/>
        <v>0.0425531914893617</v>
      </c>
      <c r="Z5" t="s">
        <v>1</v>
      </c>
      <c r="AA5" s="5">
        <v>97</v>
      </c>
      <c r="AB5" s="5">
        <v>88</v>
      </c>
      <c r="AC5" s="4">
        <f t="shared" si="5"/>
        <v>-0.09278350515463918</v>
      </c>
    </row>
    <row r="6" spans="1:29" ht="12.75">
      <c r="A6" t="s">
        <v>2</v>
      </c>
      <c r="B6" s="5">
        <v>218</v>
      </c>
      <c r="C6" s="5"/>
      <c r="D6" s="4">
        <f t="shared" si="0"/>
        <v>-1</v>
      </c>
      <c r="F6" t="s">
        <v>2</v>
      </c>
      <c r="G6" s="5">
        <v>230</v>
      </c>
      <c r="H6" s="5"/>
      <c r="I6" s="4">
        <f t="shared" si="1"/>
        <v>-1</v>
      </c>
      <c r="K6" t="s">
        <v>2</v>
      </c>
      <c r="L6" s="5">
        <v>14</v>
      </c>
      <c r="M6" s="5"/>
      <c r="N6" s="4">
        <f t="shared" si="2"/>
        <v>-1</v>
      </c>
      <c r="P6" t="s">
        <v>2</v>
      </c>
      <c r="Q6" s="5">
        <v>16</v>
      </c>
      <c r="R6" s="5"/>
      <c r="S6" s="4">
        <f t="shared" si="3"/>
        <v>-1</v>
      </c>
      <c r="U6" t="s">
        <v>2</v>
      </c>
      <c r="V6" s="5">
        <v>87</v>
      </c>
      <c r="W6" s="5"/>
      <c r="X6" s="4">
        <f t="shared" si="4"/>
        <v>-1</v>
      </c>
      <c r="Z6" t="s">
        <v>2</v>
      </c>
      <c r="AA6" s="5">
        <v>84</v>
      </c>
      <c r="AB6" s="5"/>
      <c r="AC6" s="4">
        <f t="shared" si="5"/>
        <v>-1</v>
      </c>
    </row>
    <row r="7" spans="1:29" ht="12.75">
      <c r="A7" t="s">
        <v>3</v>
      </c>
      <c r="B7" s="7">
        <v>257</v>
      </c>
      <c r="C7" s="7"/>
      <c r="D7" s="4">
        <f t="shared" si="0"/>
        <v>-1</v>
      </c>
      <c r="F7" t="s">
        <v>3</v>
      </c>
      <c r="G7" s="6">
        <v>241</v>
      </c>
      <c r="H7" s="6"/>
      <c r="I7" s="4">
        <f t="shared" si="1"/>
        <v>-1</v>
      </c>
      <c r="K7" t="s">
        <v>3</v>
      </c>
      <c r="L7" s="5">
        <v>19</v>
      </c>
      <c r="M7" s="5"/>
      <c r="N7" s="4">
        <f t="shared" si="2"/>
        <v>-1</v>
      </c>
      <c r="P7" t="s">
        <v>3</v>
      </c>
      <c r="Q7" s="5">
        <v>20</v>
      </c>
      <c r="R7" s="5"/>
      <c r="S7" s="4">
        <f t="shared" si="3"/>
        <v>-1</v>
      </c>
      <c r="U7" t="s">
        <v>3</v>
      </c>
      <c r="V7" s="5">
        <v>96</v>
      </c>
      <c r="W7" s="5"/>
      <c r="X7" s="4">
        <f t="shared" si="4"/>
        <v>-1</v>
      </c>
      <c r="Z7" t="s">
        <v>3</v>
      </c>
      <c r="AA7" s="5">
        <v>93</v>
      </c>
      <c r="AB7" s="5"/>
      <c r="AC7" s="4">
        <f t="shared" si="5"/>
        <v>-1</v>
      </c>
    </row>
    <row r="8" spans="1:29" ht="12.75">
      <c r="A8" t="s">
        <v>4</v>
      </c>
      <c r="B8" s="5">
        <v>256</v>
      </c>
      <c r="C8" s="5"/>
      <c r="D8" s="4">
        <f t="shared" si="0"/>
        <v>-1</v>
      </c>
      <c r="F8" t="s">
        <v>4</v>
      </c>
      <c r="G8" s="6">
        <v>243</v>
      </c>
      <c r="H8" s="6"/>
      <c r="I8" s="4">
        <f t="shared" si="1"/>
        <v>-1</v>
      </c>
      <c r="K8" t="s">
        <v>4</v>
      </c>
      <c r="L8" s="5">
        <v>18</v>
      </c>
      <c r="M8" s="5"/>
      <c r="N8" s="4">
        <f t="shared" si="2"/>
        <v>-1</v>
      </c>
      <c r="P8" t="s">
        <v>4</v>
      </c>
      <c r="Q8" s="5">
        <v>18</v>
      </c>
      <c r="R8" s="5"/>
      <c r="S8" s="4">
        <f t="shared" si="3"/>
        <v>-1</v>
      </c>
      <c r="U8" t="s">
        <v>4</v>
      </c>
      <c r="V8" s="5">
        <v>93</v>
      </c>
      <c r="W8" s="5"/>
      <c r="X8" s="4">
        <f t="shared" si="4"/>
        <v>-1</v>
      </c>
      <c r="Z8" t="s">
        <v>4</v>
      </c>
      <c r="AA8" s="5">
        <v>87</v>
      </c>
      <c r="AB8" s="5"/>
      <c r="AC8" s="4">
        <f t="shared" si="5"/>
        <v>-1</v>
      </c>
    </row>
    <row r="9" spans="1:29" ht="12.75">
      <c r="A9" t="s">
        <v>5</v>
      </c>
      <c r="B9" s="5">
        <v>233</v>
      </c>
      <c r="C9" s="5"/>
      <c r="D9" s="4">
        <f t="shared" si="0"/>
        <v>-1</v>
      </c>
      <c r="F9" t="s">
        <v>5</v>
      </c>
      <c r="G9" s="5">
        <v>244</v>
      </c>
      <c r="H9" s="5"/>
      <c r="I9" s="4">
        <f t="shared" si="1"/>
        <v>-1</v>
      </c>
      <c r="K9" t="s">
        <v>5</v>
      </c>
      <c r="L9" s="5">
        <v>19</v>
      </c>
      <c r="M9" s="5"/>
      <c r="N9" s="4">
        <f t="shared" si="2"/>
        <v>-1</v>
      </c>
      <c r="P9" t="s">
        <v>5</v>
      </c>
      <c r="Q9" s="5">
        <v>19</v>
      </c>
      <c r="R9" s="5"/>
      <c r="S9" s="4">
        <f t="shared" si="3"/>
        <v>-1</v>
      </c>
      <c r="U9" t="s">
        <v>5</v>
      </c>
      <c r="V9" s="5">
        <v>89</v>
      </c>
      <c r="W9" s="5"/>
      <c r="X9" s="4">
        <f t="shared" si="4"/>
        <v>-1</v>
      </c>
      <c r="Z9" t="s">
        <v>5</v>
      </c>
      <c r="AA9" s="5">
        <v>88</v>
      </c>
      <c r="AB9" s="5"/>
      <c r="AC9" s="4">
        <f t="shared" si="5"/>
        <v>-1</v>
      </c>
    </row>
    <row r="10" spans="1:29" ht="12.75">
      <c r="A10" t="s">
        <v>6</v>
      </c>
      <c r="B10" s="5">
        <v>233</v>
      </c>
      <c r="C10" s="5"/>
      <c r="D10" s="4">
        <f t="shared" si="0"/>
        <v>-1</v>
      </c>
      <c r="F10" t="s">
        <v>6</v>
      </c>
      <c r="G10" s="5">
        <v>225</v>
      </c>
      <c r="H10" s="5"/>
      <c r="I10" s="4">
        <f t="shared" si="1"/>
        <v>-1</v>
      </c>
      <c r="K10" t="s">
        <v>6</v>
      </c>
      <c r="L10" s="5">
        <v>17</v>
      </c>
      <c r="M10" s="5"/>
      <c r="N10" s="4">
        <f t="shared" si="2"/>
        <v>-1</v>
      </c>
      <c r="P10" t="s">
        <v>6</v>
      </c>
      <c r="Q10" s="5">
        <v>17</v>
      </c>
      <c r="R10" s="5"/>
      <c r="S10" s="4">
        <f t="shared" si="3"/>
        <v>-1</v>
      </c>
      <c r="U10" t="s">
        <v>6</v>
      </c>
      <c r="V10" s="5">
        <v>91</v>
      </c>
      <c r="W10" s="5"/>
      <c r="X10" s="4">
        <f t="shared" si="4"/>
        <v>-1</v>
      </c>
      <c r="Z10" t="s">
        <v>6</v>
      </c>
      <c r="AA10" s="5">
        <v>94</v>
      </c>
      <c r="AB10" s="5"/>
      <c r="AC10" s="4">
        <f t="shared" si="5"/>
        <v>-1</v>
      </c>
    </row>
    <row r="11" spans="1:29" ht="12.75">
      <c r="A11" t="s">
        <v>7</v>
      </c>
      <c r="B11" s="5">
        <v>188</v>
      </c>
      <c r="C11" s="5"/>
      <c r="D11" s="4">
        <f t="shared" si="0"/>
        <v>-1</v>
      </c>
      <c r="F11" t="s">
        <v>7</v>
      </c>
      <c r="G11" s="5">
        <v>214</v>
      </c>
      <c r="H11" s="5"/>
      <c r="I11" s="4">
        <f t="shared" si="1"/>
        <v>-1</v>
      </c>
      <c r="K11" t="s">
        <v>7</v>
      </c>
      <c r="L11" s="5">
        <v>14</v>
      </c>
      <c r="M11" s="5"/>
      <c r="N11" s="4">
        <f t="shared" si="2"/>
        <v>-1</v>
      </c>
      <c r="P11" t="s">
        <v>7</v>
      </c>
      <c r="Q11" s="5">
        <v>15</v>
      </c>
      <c r="R11" s="5"/>
      <c r="S11" s="4">
        <f t="shared" si="3"/>
        <v>-1</v>
      </c>
      <c r="U11" t="s">
        <v>7</v>
      </c>
      <c r="V11" s="5">
        <v>76</v>
      </c>
      <c r="W11" s="5"/>
      <c r="X11" s="4">
        <f t="shared" si="4"/>
        <v>-1</v>
      </c>
      <c r="Z11" t="s">
        <v>7</v>
      </c>
      <c r="AA11" s="5">
        <v>84</v>
      </c>
      <c r="AB11" s="5"/>
      <c r="AC11" s="4">
        <f t="shared" si="5"/>
        <v>-1</v>
      </c>
    </row>
    <row r="12" spans="1:29" ht="12.75">
      <c r="A12" t="s">
        <v>8</v>
      </c>
      <c r="B12" s="5">
        <v>179</v>
      </c>
      <c r="C12" s="5"/>
      <c r="D12" s="4">
        <f t="shared" si="0"/>
        <v>-1</v>
      </c>
      <c r="F12" t="s">
        <v>8</v>
      </c>
      <c r="G12" s="5">
        <v>196</v>
      </c>
      <c r="H12" s="5"/>
      <c r="I12" s="4">
        <f t="shared" si="1"/>
        <v>-1</v>
      </c>
      <c r="K12" t="s">
        <v>8</v>
      </c>
      <c r="L12" s="5">
        <v>18</v>
      </c>
      <c r="M12" s="5"/>
      <c r="N12" s="4">
        <f t="shared" si="2"/>
        <v>-1</v>
      </c>
      <c r="P12" t="s">
        <v>8</v>
      </c>
      <c r="Q12" s="5">
        <v>18</v>
      </c>
      <c r="R12" s="5"/>
      <c r="S12" s="4">
        <f t="shared" si="3"/>
        <v>-1</v>
      </c>
      <c r="U12" t="s">
        <v>8</v>
      </c>
      <c r="V12" s="5">
        <v>69</v>
      </c>
      <c r="W12" s="5"/>
      <c r="X12" s="4">
        <f t="shared" si="4"/>
        <v>-1</v>
      </c>
      <c r="Z12" t="s">
        <v>8</v>
      </c>
      <c r="AA12" s="5">
        <v>84</v>
      </c>
      <c r="AB12" s="5"/>
      <c r="AC12" s="4">
        <f t="shared" si="5"/>
        <v>-1</v>
      </c>
    </row>
    <row r="13" spans="1:29" ht="12.75">
      <c r="A13" t="s">
        <v>9</v>
      </c>
      <c r="B13" s="5">
        <v>234</v>
      </c>
      <c r="C13" s="5"/>
      <c r="D13" s="4">
        <f t="shared" si="0"/>
        <v>-1</v>
      </c>
      <c r="F13" t="s">
        <v>9</v>
      </c>
      <c r="G13" s="5">
        <v>217</v>
      </c>
      <c r="H13" s="5"/>
      <c r="I13" s="4">
        <f t="shared" si="1"/>
        <v>-1</v>
      </c>
      <c r="K13" t="s">
        <v>9</v>
      </c>
      <c r="L13" s="5">
        <v>18</v>
      </c>
      <c r="M13" s="5"/>
      <c r="N13" s="4">
        <f t="shared" si="2"/>
        <v>-1</v>
      </c>
      <c r="P13" t="s">
        <v>9</v>
      </c>
      <c r="Q13" s="5">
        <v>17</v>
      </c>
      <c r="R13" s="5"/>
      <c r="S13" s="4">
        <f t="shared" si="3"/>
        <v>-1</v>
      </c>
      <c r="U13" t="s">
        <v>9</v>
      </c>
      <c r="V13" s="5">
        <v>110</v>
      </c>
      <c r="W13" s="5"/>
      <c r="X13" s="4">
        <f t="shared" si="4"/>
        <v>-1</v>
      </c>
      <c r="Z13" t="s">
        <v>9</v>
      </c>
      <c r="AA13" s="5">
        <v>92</v>
      </c>
      <c r="AB13" s="5"/>
      <c r="AC13" s="4">
        <f t="shared" si="5"/>
        <v>-1</v>
      </c>
    </row>
    <row r="14" spans="1:29" ht="12.75">
      <c r="A14" t="s">
        <v>10</v>
      </c>
      <c r="B14" s="5">
        <v>218</v>
      </c>
      <c r="C14" s="5"/>
      <c r="D14" s="4">
        <f t="shared" si="0"/>
        <v>-1</v>
      </c>
      <c r="F14" t="s">
        <v>10</v>
      </c>
      <c r="G14" s="5">
        <v>208</v>
      </c>
      <c r="H14" s="5"/>
      <c r="I14" s="4">
        <f t="shared" si="1"/>
        <v>-1</v>
      </c>
      <c r="K14" t="s">
        <v>10</v>
      </c>
      <c r="L14" s="5">
        <v>21</v>
      </c>
      <c r="M14" s="5"/>
      <c r="N14" s="4">
        <f t="shared" si="2"/>
        <v>-1</v>
      </c>
      <c r="P14" t="s">
        <v>10</v>
      </c>
      <c r="Q14" s="5">
        <v>18</v>
      </c>
      <c r="R14" s="5"/>
      <c r="S14" s="4">
        <f t="shared" si="3"/>
        <v>-1</v>
      </c>
      <c r="U14" t="s">
        <v>10</v>
      </c>
      <c r="V14" s="5">
        <v>97</v>
      </c>
      <c r="W14" s="5"/>
      <c r="X14" s="4">
        <f t="shared" si="4"/>
        <v>-1</v>
      </c>
      <c r="Z14" t="s">
        <v>10</v>
      </c>
      <c r="AA14" s="5">
        <v>97</v>
      </c>
      <c r="AB14" s="5"/>
      <c r="AC14" s="4">
        <f t="shared" si="5"/>
        <v>-1</v>
      </c>
    </row>
    <row r="15" spans="1:29" ht="12.75">
      <c r="A15" t="s">
        <v>11</v>
      </c>
      <c r="B15" s="5">
        <v>217</v>
      </c>
      <c r="C15" s="5"/>
      <c r="D15" s="4">
        <f t="shared" si="0"/>
        <v>-1</v>
      </c>
      <c r="F15" t="s">
        <v>11</v>
      </c>
      <c r="G15" s="5">
        <v>230</v>
      </c>
      <c r="H15" s="5"/>
      <c r="I15" s="4">
        <f t="shared" si="1"/>
        <v>-1</v>
      </c>
      <c r="K15" t="s">
        <v>11</v>
      </c>
      <c r="L15" s="5">
        <v>21</v>
      </c>
      <c r="M15" s="5"/>
      <c r="N15" s="4">
        <f t="shared" si="2"/>
        <v>-1</v>
      </c>
      <c r="P15" t="s">
        <v>11</v>
      </c>
      <c r="Q15" s="5">
        <v>21</v>
      </c>
      <c r="R15" s="5"/>
      <c r="S15" s="4">
        <f t="shared" si="3"/>
        <v>-1</v>
      </c>
      <c r="U15" t="s">
        <v>11</v>
      </c>
      <c r="V15" s="5">
        <v>97</v>
      </c>
      <c r="W15" s="5"/>
      <c r="X15" s="4">
        <f t="shared" si="4"/>
        <v>-1</v>
      </c>
      <c r="Z15" t="s">
        <v>11</v>
      </c>
      <c r="AA15" s="5">
        <v>109</v>
      </c>
      <c r="AB15" s="5"/>
      <c r="AC15" s="4">
        <f t="shared" si="5"/>
        <v>-1</v>
      </c>
    </row>
    <row r="18" spans="4:10" ht="12.75">
      <c r="D18" s="8"/>
      <c r="E18" s="8"/>
      <c r="H18" s="8"/>
      <c r="I18" s="8"/>
      <c r="J18" s="1"/>
    </row>
    <row r="20" ht="12.75">
      <c r="A20" s="2" t="s">
        <v>35</v>
      </c>
    </row>
    <row r="21" spans="1:16" ht="12.75">
      <c r="A21" s="2" t="s">
        <v>15</v>
      </c>
      <c r="F21" s="2" t="s">
        <v>16</v>
      </c>
      <c r="K21" s="2" t="s">
        <v>17</v>
      </c>
      <c r="P21" s="2" t="s">
        <v>18</v>
      </c>
    </row>
    <row r="22" spans="2:19" ht="12.75">
      <c r="B22" s="3" t="s">
        <v>43</v>
      </c>
      <c r="C22" s="3" t="s">
        <v>44</v>
      </c>
      <c r="D22" s="3" t="s">
        <v>12</v>
      </c>
      <c r="G22" s="3" t="s">
        <v>43</v>
      </c>
      <c r="H22" s="3" t="s">
        <v>44</v>
      </c>
      <c r="I22" s="3" t="s">
        <v>12</v>
      </c>
      <c r="L22" s="3" t="s">
        <v>43</v>
      </c>
      <c r="M22" s="3" t="s">
        <v>44</v>
      </c>
      <c r="N22" s="3" t="s">
        <v>12</v>
      </c>
      <c r="Q22" s="3" t="s">
        <v>43</v>
      </c>
      <c r="R22" s="3" t="s">
        <v>44</v>
      </c>
      <c r="S22" s="3" t="s">
        <v>12</v>
      </c>
    </row>
    <row r="23" spans="1:19" ht="12.75">
      <c r="A23" t="s">
        <v>0</v>
      </c>
      <c r="B23" s="5">
        <v>35</v>
      </c>
      <c r="C23" s="5">
        <v>30</v>
      </c>
      <c r="D23" s="4">
        <f aca="true" t="shared" si="6" ref="D23:D34">(C23-B23)/B23</f>
        <v>-0.14285714285714285</v>
      </c>
      <c r="F23" t="s">
        <v>0</v>
      </c>
      <c r="G23" s="5">
        <v>31</v>
      </c>
      <c r="H23" s="5">
        <v>26</v>
      </c>
      <c r="I23" s="4">
        <f aca="true" t="shared" si="7" ref="I23:I34">(H23-G23)/G23</f>
        <v>-0.16129032258064516</v>
      </c>
      <c r="K23" t="s">
        <v>0</v>
      </c>
      <c r="L23" s="5">
        <v>56</v>
      </c>
      <c r="M23" s="5">
        <v>52</v>
      </c>
      <c r="N23" s="4">
        <f aca="true" t="shared" si="8" ref="N23:N34">(M23-L23)/L23</f>
        <v>-0.07142857142857142</v>
      </c>
      <c r="P23" t="s">
        <v>0</v>
      </c>
      <c r="Q23" s="5">
        <v>48</v>
      </c>
      <c r="R23" s="5">
        <v>45</v>
      </c>
      <c r="S23" s="4">
        <f aca="true" t="shared" si="9" ref="S23:S34">(R23-Q23)/Q23</f>
        <v>-0.0625</v>
      </c>
    </row>
    <row r="24" spans="1:19" ht="12.75">
      <c r="A24" t="s">
        <v>1</v>
      </c>
      <c r="B24" s="5">
        <v>39</v>
      </c>
      <c r="C24" s="5">
        <v>32</v>
      </c>
      <c r="D24" s="4">
        <f t="shared" si="6"/>
        <v>-0.1794871794871795</v>
      </c>
      <c r="F24" t="s">
        <v>1</v>
      </c>
      <c r="G24" s="5">
        <v>34</v>
      </c>
      <c r="H24" s="5">
        <v>26</v>
      </c>
      <c r="I24" s="4">
        <f t="shared" si="7"/>
        <v>-0.23529411764705882</v>
      </c>
      <c r="K24" t="s">
        <v>1</v>
      </c>
      <c r="L24" s="5">
        <v>52</v>
      </c>
      <c r="M24" s="5">
        <v>49</v>
      </c>
      <c r="N24" s="4">
        <f t="shared" si="8"/>
        <v>-0.057692307692307696</v>
      </c>
      <c r="P24" t="s">
        <v>1</v>
      </c>
      <c r="Q24" s="5">
        <v>51</v>
      </c>
      <c r="R24" s="5">
        <v>47</v>
      </c>
      <c r="S24" s="4">
        <f t="shared" si="9"/>
        <v>-0.0784313725490196</v>
      </c>
    </row>
    <row r="25" spans="1:19" ht="12.75">
      <c r="A25" t="s">
        <v>2</v>
      </c>
      <c r="B25" s="5">
        <v>34</v>
      </c>
      <c r="C25" s="5"/>
      <c r="D25" s="4">
        <f t="shared" si="6"/>
        <v>-1</v>
      </c>
      <c r="F25" t="s">
        <v>2</v>
      </c>
      <c r="G25" s="5">
        <v>35</v>
      </c>
      <c r="H25" s="5"/>
      <c r="I25" s="4">
        <f t="shared" si="7"/>
        <v>-1</v>
      </c>
      <c r="K25" t="s">
        <v>2</v>
      </c>
      <c r="L25" s="5">
        <v>56</v>
      </c>
      <c r="M25" s="5"/>
      <c r="N25" s="4">
        <f t="shared" si="8"/>
        <v>-1</v>
      </c>
      <c r="P25" t="s">
        <v>2</v>
      </c>
      <c r="Q25" s="5">
        <v>56</v>
      </c>
      <c r="R25" s="5"/>
      <c r="S25" s="4">
        <f t="shared" si="9"/>
        <v>-1</v>
      </c>
    </row>
    <row r="26" spans="1:19" ht="12.75">
      <c r="A26" t="s">
        <v>3</v>
      </c>
      <c r="B26" s="5">
        <v>34</v>
      </c>
      <c r="C26" s="5"/>
      <c r="D26" s="4">
        <f t="shared" si="6"/>
        <v>-1</v>
      </c>
      <c r="F26" t="s">
        <v>3</v>
      </c>
      <c r="G26" s="5">
        <v>33</v>
      </c>
      <c r="H26" s="5"/>
      <c r="I26" s="4">
        <f t="shared" si="7"/>
        <v>-1</v>
      </c>
      <c r="K26" t="s">
        <v>3</v>
      </c>
      <c r="L26" s="5">
        <v>57</v>
      </c>
      <c r="M26" s="5"/>
      <c r="N26" s="4">
        <f t="shared" si="8"/>
        <v>-1</v>
      </c>
      <c r="P26" t="s">
        <v>3</v>
      </c>
      <c r="Q26" s="5">
        <v>53</v>
      </c>
      <c r="R26" s="5"/>
      <c r="S26" s="4">
        <f t="shared" si="9"/>
        <v>-1</v>
      </c>
    </row>
    <row r="27" spans="1:19" ht="12.75">
      <c r="A27" t="s">
        <v>4</v>
      </c>
      <c r="B27" s="5">
        <v>37</v>
      </c>
      <c r="C27" s="5"/>
      <c r="D27" s="4">
        <f t="shared" si="6"/>
        <v>-1</v>
      </c>
      <c r="F27" t="s">
        <v>4</v>
      </c>
      <c r="G27" s="5">
        <v>39</v>
      </c>
      <c r="H27" s="5"/>
      <c r="I27" s="4">
        <f t="shared" si="7"/>
        <v>-1</v>
      </c>
      <c r="K27" t="s">
        <v>4</v>
      </c>
      <c r="L27" s="5">
        <v>58</v>
      </c>
      <c r="M27" s="5"/>
      <c r="N27" s="4">
        <f t="shared" si="8"/>
        <v>-1</v>
      </c>
      <c r="P27" t="s">
        <v>4</v>
      </c>
      <c r="Q27" s="5">
        <v>55</v>
      </c>
      <c r="R27" s="5"/>
      <c r="S27" s="4">
        <f t="shared" si="9"/>
        <v>-1</v>
      </c>
    </row>
    <row r="28" spans="1:19" ht="12.75">
      <c r="A28" t="s">
        <v>5</v>
      </c>
      <c r="B28" s="5">
        <v>44</v>
      </c>
      <c r="C28" s="5"/>
      <c r="D28" s="4">
        <f t="shared" si="6"/>
        <v>-1</v>
      </c>
      <c r="F28" t="s">
        <v>5</v>
      </c>
      <c r="G28" s="5">
        <v>44</v>
      </c>
      <c r="H28" s="5"/>
      <c r="I28" s="4">
        <f t="shared" si="7"/>
        <v>-1</v>
      </c>
      <c r="K28" t="s">
        <v>5</v>
      </c>
      <c r="L28" s="5">
        <v>58</v>
      </c>
      <c r="M28" s="5"/>
      <c r="N28" s="4">
        <f t="shared" si="8"/>
        <v>-1</v>
      </c>
      <c r="P28" t="s">
        <v>5</v>
      </c>
      <c r="Q28" s="5">
        <v>62</v>
      </c>
      <c r="R28" s="5"/>
      <c r="S28" s="4">
        <f t="shared" si="9"/>
        <v>-1</v>
      </c>
    </row>
    <row r="29" spans="1:19" ht="12.75">
      <c r="A29" t="s">
        <v>6</v>
      </c>
      <c r="B29" s="5">
        <v>44</v>
      </c>
      <c r="C29" s="5"/>
      <c r="D29" s="4">
        <f t="shared" si="6"/>
        <v>-1</v>
      </c>
      <c r="F29" t="s">
        <v>6</v>
      </c>
      <c r="G29" s="5">
        <v>35</v>
      </c>
      <c r="H29" s="5"/>
      <c r="I29" s="4">
        <f t="shared" si="7"/>
        <v>-1</v>
      </c>
      <c r="K29" t="s">
        <v>6</v>
      </c>
      <c r="L29" s="5">
        <v>64</v>
      </c>
      <c r="M29" s="5"/>
      <c r="N29" s="4">
        <f t="shared" si="8"/>
        <v>-1</v>
      </c>
      <c r="P29" t="s">
        <v>6</v>
      </c>
      <c r="Q29" s="5">
        <v>61</v>
      </c>
      <c r="R29" s="5"/>
      <c r="S29" s="4">
        <f t="shared" si="9"/>
        <v>-1</v>
      </c>
    </row>
    <row r="30" spans="1:19" ht="12.75">
      <c r="A30" t="s">
        <v>7</v>
      </c>
      <c r="B30" s="5">
        <v>33</v>
      </c>
      <c r="C30" s="5"/>
      <c r="D30" s="4">
        <f t="shared" si="6"/>
        <v>-1</v>
      </c>
      <c r="F30" t="s">
        <v>7</v>
      </c>
      <c r="G30" s="5">
        <v>30</v>
      </c>
      <c r="H30" s="5"/>
      <c r="I30" s="4">
        <f t="shared" si="7"/>
        <v>-1</v>
      </c>
      <c r="K30" t="s">
        <v>7</v>
      </c>
      <c r="L30" s="5">
        <v>49</v>
      </c>
      <c r="M30" s="5"/>
      <c r="N30" s="4">
        <f t="shared" si="8"/>
        <v>-1</v>
      </c>
      <c r="P30" t="s">
        <v>7</v>
      </c>
      <c r="Q30" s="5">
        <v>51</v>
      </c>
      <c r="R30" s="5"/>
      <c r="S30" s="4">
        <f t="shared" si="9"/>
        <v>-1</v>
      </c>
    </row>
    <row r="31" spans="1:19" ht="12.75">
      <c r="A31" t="s">
        <v>8</v>
      </c>
      <c r="B31" s="5">
        <v>30</v>
      </c>
      <c r="C31" s="5"/>
      <c r="D31" s="4">
        <f t="shared" si="6"/>
        <v>-1</v>
      </c>
      <c r="F31" t="s">
        <v>8</v>
      </c>
      <c r="G31" s="5">
        <v>35</v>
      </c>
      <c r="H31" s="5"/>
      <c r="I31" s="4">
        <f t="shared" si="7"/>
        <v>-1</v>
      </c>
      <c r="K31" t="s">
        <v>8</v>
      </c>
      <c r="L31" s="5">
        <v>39</v>
      </c>
      <c r="M31" s="5"/>
      <c r="N31" s="4">
        <f t="shared" si="8"/>
        <v>-1</v>
      </c>
      <c r="P31" t="s">
        <v>8</v>
      </c>
      <c r="Q31" s="5">
        <v>48</v>
      </c>
      <c r="R31" s="5"/>
      <c r="S31" s="4">
        <f t="shared" si="9"/>
        <v>-1</v>
      </c>
    </row>
    <row r="32" spans="1:19" ht="12.75">
      <c r="A32" t="s">
        <v>9</v>
      </c>
      <c r="B32" s="5">
        <v>37</v>
      </c>
      <c r="C32" s="5"/>
      <c r="D32" s="4">
        <f t="shared" si="6"/>
        <v>-1</v>
      </c>
      <c r="F32" t="s">
        <v>9</v>
      </c>
      <c r="G32" s="5">
        <v>38</v>
      </c>
      <c r="H32" s="5"/>
      <c r="I32" s="4">
        <f t="shared" si="7"/>
        <v>-1</v>
      </c>
      <c r="K32" t="s">
        <v>9</v>
      </c>
      <c r="L32" s="5">
        <v>60</v>
      </c>
      <c r="M32" s="5"/>
      <c r="N32" s="4">
        <f t="shared" si="8"/>
        <v>-1</v>
      </c>
      <c r="P32" t="s">
        <v>9</v>
      </c>
      <c r="Q32" s="5">
        <v>57</v>
      </c>
      <c r="R32" s="5"/>
      <c r="S32" s="4">
        <f t="shared" si="9"/>
        <v>-1</v>
      </c>
    </row>
    <row r="33" spans="1:19" ht="12.75">
      <c r="A33" t="s">
        <v>10</v>
      </c>
      <c r="B33" s="5">
        <v>36</v>
      </c>
      <c r="C33" s="5"/>
      <c r="D33" s="4">
        <f t="shared" si="6"/>
        <v>-1</v>
      </c>
      <c r="F33" t="s">
        <v>10</v>
      </c>
      <c r="G33" s="5">
        <v>37</v>
      </c>
      <c r="H33" s="5"/>
      <c r="I33" s="4">
        <f t="shared" si="7"/>
        <v>-1</v>
      </c>
      <c r="K33" t="s">
        <v>10</v>
      </c>
      <c r="L33" s="5">
        <v>56</v>
      </c>
      <c r="M33" s="5"/>
      <c r="N33" s="4">
        <f t="shared" si="8"/>
        <v>-1</v>
      </c>
      <c r="P33" t="s">
        <v>10</v>
      </c>
      <c r="Q33" s="5">
        <v>57</v>
      </c>
      <c r="R33" s="5"/>
      <c r="S33" s="4">
        <f t="shared" si="9"/>
        <v>-1</v>
      </c>
    </row>
    <row r="34" spans="1:19" ht="12.75">
      <c r="A34" t="s">
        <v>11</v>
      </c>
      <c r="B34" s="5">
        <v>42</v>
      </c>
      <c r="C34" s="5"/>
      <c r="D34" s="4">
        <f t="shared" si="6"/>
        <v>-1</v>
      </c>
      <c r="F34" t="s">
        <v>11</v>
      </c>
      <c r="G34" s="5">
        <v>48</v>
      </c>
      <c r="H34" s="5"/>
      <c r="I34" s="4">
        <f t="shared" si="7"/>
        <v>-1</v>
      </c>
      <c r="K34" t="s">
        <v>11</v>
      </c>
      <c r="L34" s="5">
        <v>63</v>
      </c>
      <c r="M34" s="5"/>
      <c r="N34" s="4">
        <f t="shared" si="8"/>
        <v>-1</v>
      </c>
      <c r="P34" t="s">
        <v>11</v>
      </c>
      <c r="Q34" s="5">
        <v>71</v>
      </c>
      <c r="R34" s="5"/>
      <c r="S34" s="4">
        <f t="shared" si="9"/>
        <v>-1</v>
      </c>
    </row>
    <row r="35" spans="2:3" ht="12.75">
      <c r="B35" s="5"/>
      <c r="C35" s="5"/>
    </row>
    <row r="37" ht="12.75">
      <c r="A37" s="2" t="s">
        <v>34</v>
      </c>
    </row>
    <row r="38" spans="1:26" ht="12.75">
      <c r="A38" s="2" t="s">
        <v>19</v>
      </c>
      <c r="F38" s="2" t="s">
        <v>20</v>
      </c>
      <c r="K38" s="2" t="s">
        <v>21</v>
      </c>
      <c r="P38" s="2" t="s">
        <v>22</v>
      </c>
      <c r="U38" s="2" t="s">
        <v>24</v>
      </c>
      <c r="Z38" s="2" t="s">
        <v>23</v>
      </c>
    </row>
    <row r="39" spans="2:29" ht="12.75">
      <c r="B39" s="3" t="s">
        <v>43</v>
      </c>
      <c r="C39" s="3" t="s">
        <v>44</v>
      </c>
      <c r="D39" s="3" t="s">
        <v>12</v>
      </c>
      <c r="G39" s="3" t="s">
        <v>43</v>
      </c>
      <c r="H39" s="3" t="s">
        <v>44</v>
      </c>
      <c r="I39" s="3" t="s">
        <v>12</v>
      </c>
      <c r="L39" s="3" t="s">
        <v>43</v>
      </c>
      <c r="M39" s="3" t="s">
        <v>44</v>
      </c>
      <c r="N39" s="3" t="s">
        <v>12</v>
      </c>
      <c r="Q39" s="3" t="s">
        <v>43</v>
      </c>
      <c r="R39" s="3" t="s">
        <v>44</v>
      </c>
      <c r="S39" s="3" t="s">
        <v>12</v>
      </c>
      <c r="V39" s="3" t="s">
        <v>43</v>
      </c>
      <c r="W39" s="3" t="s">
        <v>44</v>
      </c>
      <c r="X39" s="3" t="s">
        <v>12</v>
      </c>
      <c r="AA39" s="3" t="s">
        <v>43</v>
      </c>
      <c r="AB39" s="3" t="s">
        <v>44</v>
      </c>
      <c r="AC39" s="3" t="s">
        <v>12</v>
      </c>
    </row>
    <row r="40" spans="1:29" ht="12.75">
      <c r="A40" t="s">
        <v>0</v>
      </c>
      <c r="B40" s="5">
        <v>626</v>
      </c>
      <c r="C40" s="5">
        <v>464</v>
      </c>
      <c r="D40" s="4">
        <f aca="true" t="shared" si="10" ref="D40:D51">(C40-B40)/B40</f>
        <v>-0.25878594249201275</v>
      </c>
      <c r="F40" t="s">
        <v>0</v>
      </c>
      <c r="G40" s="5">
        <v>699</v>
      </c>
      <c r="H40" s="5">
        <v>522</v>
      </c>
      <c r="I40" s="4">
        <f aca="true" t="shared" si="11" ref="I40:I51">(H40-G40)/G40</f>
        <v>-0.2532188841201717</v>
      </c>
      <c r="K40" t="s">
        <v>0</v>
      </c>
      <c r="L40" s="5">
        <v>1409</v>
      </c>
      <c r="M40" s="5">
        <v>1334</v>
      </c>
      <c r="N40" s="4">
        <f aca="true" t="shared" si="12" ref="N40:N51">(M40-L40)/L40</f>
        <v>-0.053229240596167494</v>
      </c>
      <c r="P40" t="s">
        <v>0</v>
      </c>
      <c r="Q40" s="5">
        <v>1481</v>
      </c>
      <c r="R40" s="5">
        <v>1345</v>
      </c>
      <c r="S40" s="4">
        <f aca="true" t="shared" si="13" ref="S40:S51">(R40-Q40)/Q40</f>
        <v>-0.09182984469952735</v>
      </c>
      <c r="U40" t="s">
        <v>0</v>
      </c>
      <c r="V40" s="5">
        <v>76</v>
      </c>
      <c r="W40" s="5">
        <v>69</v>
      </c>
      <c r="X40" s="4">
        <f aca="true" t="shared" si="14" ref="X40:X51">(W40-V40)/V40</f>
        <v>-0.09210526315789473</v>
      </c>
      <c r="Z40" t="s">
        <v>0</v>
      </c>
      <c r="AA40" s="5">
        <v>72</v>
      </c>
      <c r="AB40" s="5">
        <v>65</v>
      </c>
      <c r="AC40" s="4">
        <f aca="true" t="shared" si="15" ref="AC40:AC51">(AB40-AA40)/AA40</f>
        <v>-0.09722222222222222</v>
      </c>
    </row>
    <row r="41" spans="1:29" ht="12.75">
      <c r="A41" t="s">
        <v>1</v>
      </c>
      <c r="B41" s="5">
        <v>608</v>
      </c>
      <c r="C41" s="5">
        <v>538</v>
      </c>
      <c r="D41" s="4">
        <f t="shared" si="10"/>
        <v>-0.11513157894736842</v>
      </c>
      <c r="F41" t="s">
        <v>1</v>
      </c>
      <c r="G41" s="5">
        <v>584</v>
      </c>
      <c r="H41" s="5">
        <v>538</v>
      </c>
      <c r="I41" s="4">
        <f t="shared" si="11"/>
        <v>-0.07876712328767123</v>
      </c>
      <c r="K41" t="s">
        <v>1</v>
      </c>
      <c r="L41" s="5">
        <v>1492</v>
      </c>
      <c r="M41" s="5">
        <v>1431</v>
      </c>
      <c r="N41" s="4">
        <f t="shared" si="12"/>
        <v>-0.04088471849865952</v>
      </c>
      <c r="P41" t="s">
        <v>1</v>
      </c>
      <c r="Q41" s="5">
        <v>1476</v>
      </c>
      <c r="R41" s="5">
        <v>1428</v>
      </c>
      <c r="S41" s="4">
        <f t="shared" si="13"/>
        <v>-0.032520325203252036</v>
      </c>
      <c r="U41" t="s">
        <v>1</v>
      </c>
      <c r="V41" s="5">
        <v>83</v>
      </c>
      <c r="W41" s="5">
        <v>60</v>
      </c>
      <c r="X41" s="4">
        <f t="shared" si="14"/>
        <v>-0.27710843373493976</v>
      </c>
      <c r="Z41" t="s">
        <v>1</v>
      </c>
      <c r="AA41" s="5">
        <v>76</v>
      </c>
      <c r="AB41" s="5">
        <v>53</v>
      </c>
      <c r="AC41" s="4">
        <f t="shared" si="15"/>
        <v>-0.3026315789473684</v>
      </c>
    </row>
    <row r="42" spans="1:29" ht="12.75">
      <c r="A42" t="s">
        <v>2</v>
      </c>
      <c r="B42" s="5">
        <v>637</v>
      </c>
      <c r="C42" s="5"/>
      <c r="D42" s="4">
        <f t="shared" si="10"/>
        <v>-1</v>
      </c>
      <c r="F42" t="s">
        <v>2</v>
      </c>
      <c r="G42" s="5">
        <v>639</v>
      </c>
      <c r="H42" s="5"/>
      <c r="I42" s="4">
        <f t="shared" si="11"/>
        <v>-1</v>
      </c>
      <c r="K42" t="s">
        <v>2</v>
      </c>
      <c r="L42" s="5">
        <v>1455</v>
      </c>
      <c r="M42" s="5"/>
      <c r="N42" s="4">
        <f t="shared" si="12"/>
        <v>-1</v>
      </c>
      <c r="P42" t="s">
        <v>2</v>
      </c>
      <c r="Q42" s="5">
        <v>1440</v>
      </c>
      <c r="R42" s="5"/>
      <c r="S42" s="4">
        <f t="shared" si="13"/>
        <v>-1</v>
      </c>
      <c r="U42" t="s">
        <v>2</v>
      </c>
      <c r="V42" s="5">
        <v>77</v>
      </c>
      <c r="W42" s="5"/>
      <c r="X42" s="4">
        <f t="shared" si="14"/>
        <v>-1</v>
      </c>
      <c r="Z42" t="s">
        <v>2</v>
      </c>
      <c r="AA42" s="5">
        <v>70</v>
      </c>
      <c r="AB42" s="5"/>
      <c r="AC42" s="4">
        <f t="shared" si="15"/>
        <v>-1</v>
      </c>
    </row>
    <row r="43" spans="1:29" ht="12.75">
      <c r="A43" t="s">
        <v>3</v>
      </c>
      <c r="B43" s="5">
        <v>687</v>
      </c>
      <c r="C43" s="5"/>
      <c r="D43" s="4">
        <f t="shared" si="10"/>
        <v>-1</v>
      </c>
      <c r="F43" t="s">
        <v>3</v>
      </c>
      <c r="G43" s="5">
        <v>640</v>
      </c>
      <c r="H43" s="5"/>
      <c r="I43" s="4">
        <f t="shared" si="11"/>
        <v>-1</v>
      </c>
      <c r="K43" t="s">
        <v>3</v>
      </c>
      <c r="L43" s="5">
        <v>1488</v>
      </c>
      <c r="M43" s="5"/>
      <c r="N43" s="4">
        <f t="shared" si="12"/>
        <v>-1</v>
      </c>
      <c r="P43" t="s">
        <v>3</v>
      </c>
      <c r="Q43" s="5">
        <v>1389</v>
      </c>
      <c r="R43" s="5"/>
      <c r="S43" s="4">
        <f t="shared" si="13"/>
        <v>-1</v>
      </c>
      <c r="U43" t="s">
        <v>3</v>
      </c>
      <c r="V43" s="5">
        <v>75</v>
      </c>
      <c r="W43" s="5"/>
      <c r="X43" s="4">
        <f t="shared" si="14"/>
        <v>-1</v>
      </c>
      <c r="Z43" t="s">
        <v>3</v>
      </c>
      <c r="AA43" s="5">
        <v>67</v>
      </c>
      <c r="AB43" s="5"/>
      <c r="AC43" s="4">
        <f t="shared" si="15"/>
        <v>-1</v>
      </c>
    </row>
    <row r="44" spans="1:29" ht="12.75">
      <c r="A44" t="s">
        <v>4</v>
      </c>
      <c r="B44" s="5">
        <v>683</v>
      </c>
      <c r="C44" s="5"/>
      <c r="D44" s="4">
        <f t="shared" si="10"/>
        <v>-1</v>
      </c>
      <c r="F44" t="s">
        <v>4</v>
      </c>
      <c r="G44" s="5">
        <v>712</v>
      </c>
      <c r="H44" s="5"/>
      <c r="I44" s="4">
        <f t="shared" si="11"/>
        <v>-1</v>
      </c>
      <c r="K44" t="s">
        <v>4</v>
      </c>
      <c r="L44" s="5">
        <v>1484</v>
      </c>
      <c r="M44" s="5"/>
      <c r="N44" s="4">
        <f t="shared" si="12"/>
        <v>-1</v>
      </c>
      <c r="P44" t="s">
        <v>4</v>
      </c>
      <c r="Q44" s="5">
        <v>1452</v>
      </c>
      <c r="R44" s="5"/>
      <c r="S44" s="4">
        <f t="shared" si="13"/>
        <v>-1</v>
      </c>
      <c r="U44" t="s">
        <v>4</v>
      </c>
      <c r="V44" s="5">
        <v>73</v>
      </c>
      <c r="W44" s="5"/>
      <c r="X44" s="4">
        <f t="shared" si="14"/>
        <v>-1</v>
      </c>
      <c r="Z44" t="s">
        <v>4</v>
      </c>
      <c r="AA44" s="5">
        <v>72</v>
      </c>
      <c r="AB44" s="5"/>
      <c r="AC44" s="4">
        <f t="shared" si="15"/>
        <v>-1</v>
      </c>
    </row>
    <row r="45" spans="1:29" ht="12.75">
      <c r="A45" t="s">
        <v>5</v>
      </c>
      <c r="B45" s="5">
        <v>711</v>
      </c>
      <c r="C45" s="5"/>
      <c r="D45" s="4">
        <f t="shared" si="10"/>
        <v>-1</v>
      </c>
      <c r="F45" t="s">
        <v>5</v>
      </c>
      <c r="G45" s="5">
        <v>705</v>
      </c>
      <c r="H45" s="5"/>
      <c r="I45" s="4">
        <f t="shared" si="11"/>
        <v>-1</v>
      </c>
      <c r="K45" t="s">
        <v>5</v>
      </c>
      <c r="L45" s="5">
        <v>1590</v>
      </c>
      <c r="M45" s="5"/>
      <c r="N45" s="4">
        <f t="shared" si="12"/>
        <v>-1</v>
      </c>
      <c r="P45" t="s">
        <v>5</v>
      </c>
      <c r="Q45" s="5">
        <v>1617</v>
      </c>
      <c r="R45" s="5"/>
      <c r="S45" s="4">
        <f t="shared" si="13"/>
        <v>-1</v>
      </c>
      <c r="U45" t="s">
        <v>5</v>
      </c>
      <c r="V45" s="5">
        <v>83</v>
      </c>
      <c r="W45" s="5"/>
      <c r="X45" s="4">
        <f t="shared" si="14"/>
        <v>-1</v>
      </c>
      <c r="Z45" t="s">
        <v>5</v>
      </c>
      <c r="AA45" s="5">
        <v>102</v>
      </c>
      <c r="AB45" s="5"/>
      <c r="AC45" s="4">
        <f t="shared" si="15"/>
        <v>-1</v>
      </c>
    </row>
    <row r="46" spans="1:29" ht="12.75">
      <c r="A46" t="s">
        <v>6</v>
      </c>
      <c r="B46" s="5">
        <v>678</v>
      </c>
      <c r="C46" s="5"/>
      <c r="D46" s="4">
        <f t="shared" si="10"/>
        <v>-1</v>
      </c>
      <c r="F46" t="s">
        <v>6</v>
      </c>
      <c r="G46" s="5">
        <v>675</v>
      </c>
      <c r="H46" s="5"/>
      <c r="I46" s="4">
        <f t="shared" si="11"/>
        <v>-1</v>
      </c>
      <c r="K46" t="s">
        <v>6</v>
      </c>
      <c r="L46" s="5">
        <v>1581</v>
      </c>
      <c r="M46" s="5"/>
      <c r="N46" s="4">
        <f t="shared" si="12"/>
        <v>-1</v>
      </c>
      <c r="P46" t="s">
        <v>6</v>
      </c>
      <c r="Q46" s="5">
        <v>1569</v>
      </c>
      <c r="R46" s="5"/>
      <c r="S46" s="4">
        <f t="shared" si="13"/>
        <v>-1</v>
      </c>
      <c r="U46" t="s">
        <v>6</v>
      </c>
      <c r="V46" s="5">
        <v>91</v>
      </c>
      <c r="W46" s="5"/>
      <c r="X46" s="4">
        <f t="shared" si="14"/>
        <v>-1</v>
      </c>
      <c r="Z46" t="s">
        <v>6</v>
      </c>
      <c r="AA46" s="5">
        <v>83</v>
      </c>
      <c r="AB46" s="5"/>
      <c r="AC46" s="4">
        <f t="shared" si="15"/>
        <v>-1</v>
      </c>
    </row>
    <row r="47" spans="1:29" ht="12.75">
      <c r="A47" t="s">
        <v>7</v>
      </c>
      <c r="B47" s="5">
        <v>592</v>
      </c>
      <c r="C47" s="5"/>
      <c r="D47" s="4">
        <f t="shared" si="10"/>
        <v>-1</v>
      </c>
      <c r="F47" t="s">
        <v>7</v>
      </c>
      <c r="G47" s="5">
        <v>550</v>
      </c>
      <c r="H47" s="5"/>
      <c r="I47" s="4">
        <f t="shared" si="11"/>
        <v>-1</v>
      </c>
      <c r="K47" t="s">
        <v>7</v>
      </c>
      <c r="L47" s="5">
        <v>1250</v>
      </c>
      <c r="M47" s="5"/>
      <c r="N47" s="4">
        <f t="shared" si="12"/>
        <v>-1</v>
      </c>
      <c r="P47" t="s">
        <v>7</v>
      </c>
      <c r="Q47" s="5">
        <v>1267</v>
      </c>
      <c r="R47" s="5"/>
      <c r="S47" s="4">
        <f t="shared" si="13"/>
        <v>-1</v>
      </c>
      <c r="U47" t="s">
        <v>7</v>
      </c>
      <c r="V47" s="5">
        <v>67</v>
      </c>
      <c r="W47" s="5"/>
      <c r="X47" s="4">
        <f t="shared" si="14"/>
        <v>-1</v>
      </c>
      <c r="Z47" t="s">
        <v>7</v>
      </c>
      <c r="AA47" s="5">
        <v>75</v>
      </c>
      <c r="AB47" s="5"/>
      <c r="AC47" s="4">
        <f t="shared" si="15"/>
        <v>-1</v>
      </c>
    </row>
    <row r="48" spans="1:29" ht="12.75">
      <c r="A48" t="s">
        <v>8</v>
      </c>
      <c r="B48" s="5">
        <v>391</v>
      </c>
      <c r="C48" s="5"/>
      <c r="D48" s="4">
        <f t="shared" si="10"/>
        <v>-1</v>
      </c>
      <c r="F48" t="s">
        <v>8</v>
      </c>
      <c r="G48" s="5">
        <v>433</v>
      </c>
      <c r="H48" s="5"/>
      <c r="I48" s="4">
        <f t="shared" si="11"/>
        <v>-1</v>
      </c>
      <c r="K48" t="s">
        <v>8</v>
      </c>
      <c r="L48" s="5">
        <v>1051</v>
      </c>
      <c r="M48" s="5"/>
      <c r="N48" s="4">
        <f t="shared" si="12"/>
        <v>-1</v>
      </c>
      <c r="P48" t="s">
        <v>8</v>
      </c>
      <c r="Q48" s="5">
        <v>1036</v>
      </c>
      <c r="R48" s="5"/>
      <c r="S48" s="4">
        <f t="shared" si="13"/>
        <v>-1</v>
      </c>
      <c r="U48" t="s">
        <v>8</v>
      </c>
      <c r="V48" s="5">
        <v>56</v>
      </c>
      <c r="W48" s="5"/>
      <c r="X48" s="4">
        <f t="shared" si="14"/>
        <v>-1</v>
      </c>
      <c r="Z48" t="s">
        <v>8</v>
      </c>
      <c r="AA48" s="5">
        <v>60</v>
      </c>
      <c r="AB48" s="5"/>
      <c r="AC48" s="4">
        <f t="shared" si="15"/>
        <v>-1</v>
      </c>
    </row>
    <row r="49" spans="1:29" ht="12.75">
      <c r="A49" t="s">
        <v>9</v>
      </c>
      <c r="B49" s="5">
        <v>558</v>
      </c>
      <c r="C49" s="5"/>
      <c r="D49" s="4">
        <f t="shared" si="10"/>
        <v>-1</v>
      </c>
      <c r="F49" t="s">
        <v>9</v>
      </c>
      <c r="G49" s="5">
        <v>517</v>
      </c>
      <c r="H49" s="5"/>
      <c r="I49" s="4">
        <f t="shared" si="11"/>
        <v>-1</v>
      </c>
      <c r="K49" t="s">
        <v>9</v>
      </c>
      <c r="L49" s="5">
        <v>1219</v>
      </c>
      <c r="M49" s="5"/>
      <c r="N49" s="4">
        <f t="shared" si="12"/>
        <v>-1</v>
      </c>
      <c r="P49" t="s">
        <v>9</v>
      </c>
      <c r="Q49" s="5">
        <v>1255</v>
      </c>
      <c r="R49" s="5"/>
      <c r="S49" s="4">
        <f t="shared" si="13"/>
        <v>-1</v>
      </c>
      <c r="U49" t="s">
        <v>9</v>
      </c>
      <c r="V49" s="5">
        <v>71</v>
      </c>
      <c r="W49" s="5"/>
      <c r="X49" s="4">
        <f t="shared" si="14"/>
        <v>-1</v>
      </c>
      <c r="Z49" t="s">
        <v>9</v>
      </c>
      <c r="AA49" s="5">
        <v>73</v>
      </c>
      <c r="AB49" s="5"/>
      <c r="AC49" s="9">
        <f t="shared" si="15"/>
        <v>-1</v>
      </c>
    </row>
    <row r="50" spans="1:29" ht="12.75">
      <c r="A50" t="s">
        <v>10</v>
      </c>
      <c r="B50" s="5">
        <v>583</v>
      </c>
      <c r="C50" s="5"/>
      <c r="D50" s="4">
        <f t="shared" si="10"/>
        <v>-1</v>
      </c>
      <c r="F50" t="s">
        <v>10</v>
      </c>
      <c r="G50" s="5">
        <v>523</v>
      </c>
      <c r="H50" s="5"/>
      <c r="I50" s="4">
        <f t="shared" si="11"/>
        <v>-1</v>
      </c>
      <c r="K50" t="s">
        <v>10</v>
      </c>
      <c r="L50" s="5">
        <v>1280</v>
      </c>
      <c r="M50" s="5"/>
      <c r="N50" s="4">
        <f t="shared" si="12"/>
        <v>-1</v>
      </c>
      <c r="P50" t="s">
        <v>10</v>
      </c>
      <c r="Q50" s="5">
        <v>1286</v>
      </c>
      <c r="R50" s="5"/>
      <c r="S50" s="4">
        <f t="shared" si="13"/>
        <v>-1</v>
      </c>
      <c r="U50" t="s">
        <v>10</v>
      </c>
      <c r="V50" s="5">
        <v>75</v>
      </c>
      <c r="W50" s="5"/>
      <c r="X50" s="4">
        <f t="shared" si="14"/>
        <v>-1</v>
      </c>
      <c r="Z50" t="s">
        <v>10</v>
      </c>
      <c r="AA50" s="5">
        <v>76</v>
      </c>
      <c r="AB50" s="5"/>
      <c r="AC50" s="9">
        <f t="shared" si="15"/>
        <v>-1</v>
      </c>
    </row>
    <row r="51" spans="1:29" ht="12.75">
      <c r="A51" t="s">
        <v>11</v>
      </c>
      <c r="B51" s="5">
        <v>340</v>
      </c>
      <c r="C51" s="5"/>
      <c r="D51" s="4">
        <f t="shared" si="10"/>
        <v>-1</v>
      </c>
      <c r="F51" t="s">
        <v>11</v>
      </c>
      <c r="G51" s="5">
        <v>424</v>
      </c>
      <c r="H51" s="5"/>
      <c r="I51" s="4">
        <f t="shared" si="11"/>
        <v>-1</v>
      </c>
      <c r="K51" t="s">
        <v>11</v>
      </c>
      <c r="L51" s="5">
        <v>1200</v>
      </c>
      <c r="M51" s="5"/>
      <c r="N51" s="4">
        <f t="shared" si="12"/>
        <v>-1</v>
      </c>
      <c r="P51" t="s">
        <v>11</v>
      </c>
      <c r="Q51" s="5">
        <v>1197</v>
      </c>
      <c r="R51" s="5"/>
      <c r="S51" s="4">
        <f t="shared" si="13"/>
        <v>-1</v>
      </c>
      <c r="U51" t="s">
        <v>11</v>
      </c>
      <c r="V51" s="5">
        <v>79</v>
      </c>
      <c r="W51" s="5"/>
      <c r="X51" s="4">
        <f t="shared" si="14"/>
        <v>-1</v>
      </c>
      <c r="Z51" t="s">
        <v>11</v>
      </c>
      <c r="AA51" s="5">
        <v>71</v>
      </c>
      <c r="AB51" s="5"/>
      <c r="AC51" s="9">
        <f t="shared" si="15"/>
        <v>-1</v>
      </c>
    </row>
    <row r="54" ht="12.75">
      <c r="A54" s="2" t="s">
        <v>33</v>
      </c>
    </row>
    <row r="55" spans="1:6" ht="12.75">
      <c r="A55" s="2" t="s">
        <v>25</v>
      </c>
      <c r="F55" s="2" t="s">
        <v>26</v>
      </c>
    </row>
    <row r="56" spans="2:9" ht="12.75">
      <c r="B56" s="3" t="s">
        <v>43</v>
      </c>
      <c r="C56" s="3" t="s">
        <v>44</v>
      </c>
      <c r="D56" s="3" t="s">
        <v>12</v>
      </c>
      <c r="G56" s="3" t="s">
        <v>43</v>
      </c>
      <c r="H56" s="3" t="s">
        <v>44</v>
      </c>
      <c r="I56" s="3" t="s">
        <v>12</v>
      </c>
    </row>
    <row r="57" spans="1:9" ht="12.75">
      <c r="A57" t="s">
        <v>0</v>
      </c>
      <c r="B57" s="5">
        <v>97</v>
      </c>
      <c r="C57" s="5">
        <v>93</v>
      </c>
      <c r="D57" s="4">
        <f aca="true" t="shared" si="16" ref="D57:D68">(C57-B57)/B57</f>
        <v>-0.041237113402061855</v>
      </c>
      <c r="F57" t="s">
        <v>0</v>
      </c>
      <c r="G57" s="5">
        <v>100</v>
      </c>
      <c r="H57" s="5">
        <v>92</v>
      </c>
      <c r="I57" s="4">
        <f aca="true" t="shared" si="17" ref="I57:I68">(H57-G57)/G57</f>
        <v>-0.08</v>
      </c>
    </row>
    <row r="58" spans="1:9" ht="12.75">
      <c r="A58" t="s">
        <v>1</v>
      </c>
      <c r="B58" s="5">
        <v>100</v>
      </c>
      <c r="C58" s="5">
        <v>91</v>
      </c>
      <c r="D58" s="4">
        <f t="shared" si="16"/>
        <v>-0.09</v>
      </c>
      <c r="F58" t="s">
        <v>1</v>
      </c>
      <c r="G58" s="5">
        <v>101</v>
      </c>
      <c r="H58" s="5">
        <v>91</v>
      </c>
      <c r="I58" s="4">
        <f t="shared" si="17"/>
        <v>-0.09900990099009901</v>
      </c>
    </row>
    <row r="59" spans="1:9" ht="12.75">
      <c r="A59" t="s">
        <v>2</v>
      </c>
      <c r="B59" s="5">
        <v>105</v>
      </c>
      <c r="C59" s="5"/>
      <c r="D59" s="4">
        <f t="shared" si="16"/>
        <v>-1</v>
      </c>
      <c r="F59" t="s">
        <v>2</v>
      </c>
      <c r="G59" s="5">
        <v>105</v>
      </c>
      <c r="H59" s="5"/>
      <c r="I59" s="4">
        <f t="shared" si="17"/>
        <v>-1</v>
      </c>
    </row>
    <row r="60" spans="1:9" ht="12.75">
      <c r="A60" t="s">
        <v>3</v>
      </c>
      <c r="B60" s="5">
        <v>106</v>
      </c>
      <c r="C60" s="5"/>
      <c r="D60" s="4">
        <f t="shared" si="16"/>
        <v>-1</v>
      </c>
      <c r="F60" t="s">
        <v>3</v>
      </c>
      <c r="G60" s="5">
        <v>106</v>
      </c>
      <c r="H60" s="5"/>
      <c r="I60" s="4">
        <f t="shared" si="17"/>
        <v>-1</v>
      </c>
    </row>
    <row r="61" spans="1:9" ht="12.75">
      <c r="A61" t="s">
        <v>4</v>
      </c>
      <c r="B61" s="5">
        <v>113</v>
      </c>
      <c r="C61" s="5"/>
      <c r="D61" s="4">
        <f t="shared" si="16"/>
        <v>-1</v>
      </c>
      <c r="F61" t="s">
        <v>4</v>
      </c>
      <c r="G61" s="5">
        <v>115</v>
      </c>
      <c r="H61" s="5"/>
      <c r="I61" s="4">
        <f t="shared" si="17"/>
        <v>-1</v>
      </c>
    </row>
    <row r="62" spans="1:9" ht="12.75">
      <c r="A62" t="s">
        <v>5</v>
      </c>
      <c r="B62" s="5">
        <v>118</v>
      </c>
      <c r="C62" s="5"/>
      <c r="D62" s="4">
        <f t="shared" si="16"/>
        <v>-1</v>
      </c>
      <c r="F62" t="s">
        <v>5</v>
      </c>
      <c r="G62" s="5">
        <v>118</v>
      </c>
      <c r="H62" s="5"/>
      <c r="I62" s="4">
        <f t="shared" si="17"/>
        <v>-1</v>
      </c>
    </row>
    <row r="63" spans="1:9" ht="12.75">
      <c r="A63" t="s">
        <v>6</v>
      </c>
      <c r="B63" s="5">
        <v>122</v>
      </c>
      <c r="C63" s="5"/>
      <c r="D63" s="4">
        <f t="shared" si="16"/>
        <v>-1</v>
      </c>
      <c r="F63" t="s">
        <v>6</v>
      </c>
      <c r="G63" s="5">
        <v>122</v>
      </c>
      <c r="H63" s="5"/>
      <c r="I63" s="4">
        <f t="shared" si="17"/>
        <v>-1</v>
      </c>
    </row>
    <row r="64" spans="1:9" ht="12.75">
      <c r="A64" t="s">
        <v>7</v>
      </c>
      <c r="B64" s="5">
        <v>100</v>
      </c>
      <c r="C64" s="5"/>
      <c r="D64" s="4">
        <f t="shared" si="16"/>
        <v>-1</v>
      </c>
      <c r="F64" t="s">
        <v>7</v>
      </c>
      <c r="G64" s="5">
        <v>100</v>
      </c>
      <c r="H64" s="5"/>
      <c r="I64" s="4">
        <f t="shared" si="17"/>
        <v>-1</v>
      </c>
    </row>
    <row r="65" spans="1:9" ht="12.75">
      <c r="A65" t="s">
        <v>8</v>
      </c>
      <c r="B65" s="5">
        <v>82</v>
      </c>
      <c r="C65" s="5"/>
      <c r="D65" s="4">
        <f t="shared" si="16"/>
        <v>-1</v>
      </c>
      <c r="F65" t="s">
        <v>8</v>
      </c>
      <c r="G65" s="5">
        <v>83</v>
      </c>
      <c r="H65" s="5"/>
      <c r="I65" s="4">
        <f t="shared" si="17"/>
        <v>-1</v>
      </c>
    </row>
    <row r="66" spans="1:9" ht="12.75">
      <c r="A66" t="s">
        <v>9</v>
      </c>
      <c r="B66" s="5">
        <v>96</v>
      </c>
      <c r="C66" s="5"/>
      <c r="D66" s="4">
        <f t="shared" si="16"/>
        <v>-1</v>
      </c>
      <c r="F66" t="s">
        <v>9</v>
      </c>
      <c r="G66" s="5">
        <v>98</v>
      </c>
      <c r="H66" s="5"/>
      <c r="I66" s="4">
        <f t="shared" si="17"/>
        <v>-1</v>
      </c>
    </row>
    <row r="67" spans="1:9" ht="12.75">
      <c r="A67" t="s">
        <v>10</v>
      </c>
      <c r="B67" s="5">
        <v>109</v>
      </c>
      <c r="C67" s="5"/>
      <c r="D67" s="4">
        <f t="shared" si="16"/>
        <v>-1</v>
      </c>
      <c r="F67" t="s">
        <v>10</v>
      </c>
      <c r="G67" s="5">
        <v>106</v>
      </c>
      <c r="H67" s="5"/>
      <c r="I67" s="4">
        <f t="shared" si="17"/>
        <v>-1</v>
      </c>
    </row>
    <row r="68" spans="1:9" ht="12.75">
      <c r="A68" t="s">
        <v>11</v>
      </c>
      <c r="B68" s="5">
        <v>121</v>
      </c>
      <c r="C68" s="5"/>
      <c r="D68" s="4">
        <f t="shared" si="16"/>
        <v>-1</v>
      </c>
      <c r="F68" t="s">
        <v>11</v>
      </c>
      <c r="G68" s="5">
        <v>115</v>
      </c>
      <c r="H68" s="5"/>
      <c r="I68" s="4">
        <f t="shared" si="17"/>
        <v>-1</v>
      </c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2:AE91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91" ht="12.75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portrait" r:id="rId2"/>
  <customProperties>
    <customPr name="DVSECTION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E61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61" ht="12.75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E33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30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3" ht="12.75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E90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90" ht="12.75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landscape" scale="65" r:id="rId2"/>
  <customProperties>
    <customPr name="DVSECTION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CH13" sqref="CH13"/>
    </sheetView>
  </sheetViews>
  <sheetFormatPr defaultColWidth="9.140625" defaultRowHeight="12.75"/>
  <sheetData>
    <row r="1" spans="1:256" ht="12.75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ht="12.75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ht="12.75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ht="12.75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ht="12.75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str">
        <f>IF('Data '!27:27,"AAAAAH//9xA=",0)</f>
        <v>AAAAAH//9xA=</v>
      </c>
      <c r="R5" t="e">
        <f>AND('Data '!A27,"AAAAAH//9xE=")</f>
        <v>#VALUE!</v>
      </c>
      <c r="S5" t="e">
        <f>AND('Data '!B27,"AAAAAH//9xI=")</f>
        <v>#VALUE!</v>
      </c>
      <c r="T5" t="e">
        <f>AND('Data '!C27,"AAAAAH//9xM=")</f>
        <v>#VALUE!</v>
      </c>
      <c r="U5" t="e">
        <f>AND('Data '!D27,"AAAAAH//9xQ=")</f>
        <v>#VALUE!</v>
      </c>
      <c r="V5" t="e">
        <f>AND('Data '!E27,"AAAAAH//9xU=")</f>
        <v>#VALUE!</v>
      </c>
      <c r="W5" t="e">
        <f>AND('Data '!F27,"AAAAAH//9xY=")</f>
        <v>#VALUE!</v>
      </c>
      <c r="X5" t="e">
        <f>AND('Data '!G27,"AAAAAH//9xc=")</f>
        <v>#VALUE!</v>
      </c>
      <c r="Y5" t="e">
        <f>AND('Data '!H27,"AAAAAH//9xg=")</f>
        <v>#VALUE!</v>
      </c>
      <c r="Z5" t="e">
        <f>AND('Data '!I27,"AAAAAH//9xk=")</f>
        <v>#VALUE!</v>
      </c>
      <c r="AA5" t="e">
        <f>AND('Data '!J27,"AAAAAH//9xo=")</f>
        <v>#VALUE!</v>
      </c>
      <c r="AB5" t="e">
        <f>AND('Data '!K27,"AAAAAH//9xs=")</f>
        <v>#VALUE!</v>
      </c>
      <c r="AC5" t="e">
        <f>AND('Data '!L27,"AAAAAH//9xw=")</f>
        <v>#VALUE!</v>
      </c>
      <c r="AD5" t="e">
        <f>AND('Data '!M27,"AAAAAH//9x0=")</f>
        <v>#VALUE!</v>
      </c>
      <c r="AE5" t="e">
        <f>AND('Data '!N27,"AAAAAH//9x4=")</f>
        <v>#VALUE!</v>
      </c>
      <c r="AF5" t="e">
        <f>AND('Data '!O27,"AAAAAH//9x8=")</f>
        <v>#VALUE!</v>
      </c>
      <c r="AG5" t="e">
        <f>AND('Data '!P27,"AAAAAH//9yA=")</f>
        <v>#VALUE!</v>
      </c>
      <c r="AH5" t="e">
        <f>AND('Data '!Q27,"AAAAAH//9yE=")</f>
        <v>#VALUE!</v>
      </c>
      <c r="AI5" t="e">
        <f>AND('Data '!R27,"AAAAAH//9yI=")</f>
        <v>#VALUE!</v>
      </c>
      <c r="AJ5" t="e">
        <f>AND('Data '!S27,"AAAAAH//9yM=")</f>
        <v>#VALUE!</v>
      </c>
      <c r="AK5" t="e">
        <f>AND('Data '!T27,"AAAAAH//9yQ=")</f>
        <v>#VALUE!</v>
      </c>
      <c r="AL5" t="e">
        <f>AND('Data '!U27,"AAAAAH//9yU=")</f>
        <v>#VALUE!</v>
      </c>
      <c r="AM5" t="e">
        <f>AND('Data '!V27,"AAAAAH//9yY=")</f>
        <v>#VALUE!</v>
      </c>
      <c r="AN5" t="e">
        <f>AND('Data '!W27,"AAAAAH//9yc=")</f>
        <v>#VALUE!</v>
      </c>
      <c r="AO5" t="e">
        <f>AND('Data '!X27,"AAAAAH//9yg=")</f>
        <v>#VALUE!</v>
      </c>
      <c r="AP5" t="e">
        <f>AND('Data '!Y27,"AAAAAH//9yk=")</f>
        <v>#VALUE!</v>
      </c>
      <c r="AQ5" t="e">
        <f>AND('Data '!Z27,"AAAAAH//9yo=")</f>
        <v>#VALUE!</v>
      </c>
      <c r="AR5" t="e">
        <f>AND('Data '!AA27,"AAAAAH//9ys=")</f>
        <v>#VALUE!</v>
      </c>
      <c r="AS5" t="e">
        <f>AND('Data '!AB27,"AAAAAH//9yw=")</f>
        <v>#VALUE!</v>
      </c>
      <c r="AT5" t="e">
        <f>AND('Data '!AC27,"AAAAAH//9y0=")</f>
        <v>#VALUE!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>
        <f>IF('Data '!28:28,"AAAAAH//9zg=",0)</f>
        <v>0</v>
      </c>
      <c r="BF5" t="e">
        <f>AND('Data '!A28,"AAAAAH//9zk=")</f>
        <v>#VALUE!</v>
      </c>
      <c r="BG5" t="e">
        <f>AND('Data '!B28,"AAAAAH//9zo=")</f>
        <v>#VALUE!</v>
      </c>
      <c r="BH5" t="e">
        <f>AND('Data '!C28,"AAAAAH//9zs=")</f>
        <v>#VALUE!</v>
      </c>
      <c r="BI5" t="e">
        <f>AND('Data '!D28,"AAAAAH//9zw=")</f>
        <v>#VALUE!</v>
      </c>
      <c r="BJ5" t="e">
        <f>AND('Data '!E28,"AAAAAH//9z0=")</f>
        <v>#VALUE!</v>
      </c>
      <c r="BK5" t="e">
        <f>AND('Data '!F28,"AAAAAH//9z4=")</f>
        <v>#VALUE!</v>
      </c>
      <c r="BL5" t="e">
        <f>AND('Data '!G28,"AAAAAH//9z8=")</f>
        <v>#VALUE!</v>
      </c>
      <c r="BM5" t="e">
        <f>AND('Data '!H28,"AAAAAH//90A=")</f>
        <v>#VALUE!</v>
      </c>
      <c r="BN5" t="e">
        <f>AND('Data '!I28,"AAAAAH//90E=")</f>
        <v>#VALUE!</v>
      </c>
      <c r="BO5" t="e">
        <f>AND('Data '!J28,"AAAAAH//90I=")</f>
        <v>#VALUE!</v>
      </c>
      <c r="BP5" t="e">
        <f>AND('Data '!K28,"AAAAAH//90M=")</f>
        <v>#VALUE!</v>
      </c>
      <c r="BQ5" t="e">
        <f>AND('Data '!L28,"AAAAAH//90Q=")</f>
        <v>#VALUE!</v>
      </c>
      <c r="BR5" t="e">
        <f>AND('Data '!M28,"AAAAAH//90U=")</f>
        <v>#VALUE!</v>
      </c>
      <c r="BS5" t="e">
        <f>AND('Data '!N28,"AAAAAH//90Y=")</f>
        <v>#VALUE!</v>
      </c>
      <c r="BT5" t="e">
        <f>AND('Data '!O28,"AAAAAH//90c=")</f>
        <v>#VALUE!</v>
      </c>
      <c r="BU5" t="e">
        <f>AND('Data '!P28,"AAAAAH//90g=")</f>
        <v>#VALUE!</v>
      </c>
      <c r="BV5" t="e">
        <f>AND('Data '!Q28,"AAAAAH//90k=")</f>
        <v>#VALUE!</v>
      </c>
      <c r="BW5" t="e">
        <f>AND('Data '!R28,"AAAAAH//90o=")</f>
        <v>#VALUE!</v>
      </c>
      <c r="BX5" t="e">
        <f>AND('Data '!S28,"AAAAAH//90s=")</f>
        <v>#VALUE!</v>
      </c>
      <c r="BY5" t="e">
        <f>AND('Data '!T28,"AAAAAH//90w=")</f>
        <v>#VALUE!</v>
      </c>
      <c r="BZ5" t="e">
        <f>AND('Data '!U28,"AAAAAH//900=")</f>
        <v>#VALUE!</v>
      </c>
      <c r="CA5" t="e">
        <f>AND('Data '!V28,"AAAAAH//904=")</f>
        <v>#VALUE!</v>
      </c>
      <c r="CB5" t="e">
        <f>AND('Data '!W28,"AAAAAH//908=")</f>
        <v>#VALUE!</v>
      </c>
      <c r="CC5" t="e">
        <f>AND('Data '!X28,"AAAAAH//91A=")</f>
        <v>#VALUE!</v>
      </c>
      <c r="CD5" t="e">
        <f>AND('Data '!Y28,"AAAAAH//91E=")</f>
        <v>#VALUE!</v>
      </c>
      <c r="CE5" t="e">
        <f>AND('Data '!Z28,"AAAAAH//91I=")</f>
        <v>#VALUE!</v>
      </c>
      <c r="CF5" t="e">
        <f>AND('Data '!AA28,"AAAAAH//91M=")</f>
        <v>#VALUE!</v>
      </c>
      <c r="CG5" t="e">
        <f>AND('Data '!AB28,"AAAAAH//91Q=")</f>
        <v>#VALUE!</v>
      </c>
      <c r="CH5" t="e">
        <f>AND('Data '!AC28,"AAAAAH//91U=")</f>
        <v>#VALUE!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>
        <f>IF('Data '!29:29,"AAAAAH//92A=",0)</f>
        <v>0</v>
      </c>
      <c r="CT5" t="e">
        <f>AND('Data '!A29,"AAAAAH//92E=")</f>
        <v>#VALUE!</v>
      </c>
      <c r="CU5" t="e">
        <f>AND('Data '!B29,"AAAAAH//92I=")</f>
        <v>#VALUE!</v>
      </c>
      <c r="CV5" t="e">
        <f>AND('Data '!C29,"AAAAAH//92M=")</f>
        <v>#VALUE!</v>
      </c>
      <c r="CW5" t="e">
        <f>AND('Data '!D29,"AAAAAH//92Q=")</f>
        <v>#VALUE!</v>
      </c>
      <c r="CX5" t="e">
        <f>AND('Data '!E29,"AAAAAH//92U=")</f>
        <v>#VALUE!</v>
      </c>
      <c r="CY5" t="e">
        <f>AND('Data '!F29,"AAAAAH//92Y=")</f>
        <v>#VALUE!</v>
      </c>
      <c r="CZ5" t="e">
        <f>AND('Data '!G29,"AAAAAH//92c=")</f>
        <v>#VALUE!</v>
      </c>
      <c r="DA5" t="e">
        <f>AND('Data '!H29,"AAAAAH//92g=")</f>
        <v>#VALUE!</v>
      </c>
      <c r="DB5" t="e">
        <f>AND('Data '!I29,"AAAAAH//92k=")</f>
        <v>#VALUE!</v>
      </c>
      <c r="DC5" t="e">
        <f>AND('Data '!J29,"AAAAAH//92o=")</f>
        <v>#VALUE!</v>
      </c>
      <c r="DD5" t="e">
        <f>AND('Data '!K29,"AAAAAH//92s=")</f>
        <v>#VALUE!</v>
      </c>
      <c r="DE5" t="e">
        <f>AND('Data '!L29,"AAAAAH//92w=")</f>
        <v>#VALUE!</v>
      </c>
      <c r="DF5" t="e">
        <f>AND('Data '!M29,"AAAAAH//920=")</f>
        <v>#VALUE!</v>
      </c>
      <c r="DG5" t="e">
        <f>AND('Data '!N29,"AAAAAH//924=")</f>
        <v>#VALUE!</v>
      </c>
      <c r="DH5" t="e">
        <f>AND('Data '!O29,"AAAAAH//928=")</f>
        <v>#VALUE!</v>
      </c>
      <c r="DI5" t="e">
        <f>AND('Data '!P29,"AAAAAH//93A=")</f>
        <v>#VALUE!</v>
      </c>
      <c r="DJ5" t="e">
        <f>AND('Data '!Q29,"AAAAAH//93E=")</f>
        <v>#VALUE!</v>
      </c>
      <c r="DK5" t="e">
        <f>AND('Data '!R29,"AAAAAH//93I=")</f>
        <v>#VALUE!</v>
      </c>
      <c r="DL5" t="e">
        <f>AND('Data '!S29,"AAAAAH//93M=")</f>
        <v>#VALUE!</v>
      </c>
      <c r="DM5" t="e">
        <f>AND('Data '!T29,"AAAAAH//93Q=")</f>
        <v>#VALUE!</v>
      </c>
      <c r="DN5" t="e">
        <f>AND('Data '!U29,"AAAAAH//93U=")</f>
        <v>#VALUE!</v>
      </c>
      <c r="DO5" t="e">
        <f>AND('Data '!V29,"AAAAAH//93Y=")</f>
        <v>#VALUE!</v>
      </c>
      <c r="DP5" t="e">
        <f>AND('Data '!W29,"AAAAAH//93c=")</f>
        <v>#VALUE!</v>
      </c>
      <c r="DQ5" t="e">
        <f>AND('Data '!X29,"AAAAAH//93g=")</f>
        <v>#VALUE!</v>
      </c>
      <c r="DR5" t="e">
        <f>AND('Data '!Y29,"AAAAAH//93k=")</f>
        <v>#VALUE!</v>
      </c>
      <c r="DS5" t="e">
        <f>AND('Data '!Z29,"AAAAAH//93o=")</f>
        <v>#VALUE!</v>
      </c>
      <c r="DT5" t="e">
        <f>AND('Data '!AA29,"AAAAAH//93s=")</f>
        <v>#VALUE!</v>
      </c>
      <c r="DU5" t="e">
        <f>AND('Data '!AB29,"AAAAAH//93w=")</f>
        <v>#VALUE!</v>
      </c>
      <c r="DV5" t="e">
        <f>AND('Data '!AC29,"AAAAAH//930=")</f>
        <v>#VALUE!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>
        <f>IF('Data '!30:30,"AAAAAH//94g=",0)</f>
        <v>0</v>
      </c>
      <c r="EH5" t="e">
        <f>AND('Data '!A30,"AAAAAH//94k=")</f>
        <v>#VALUE!</v>
      </c>
      <c r="EI5" t="e">
        <f>AND('Data '!B30,"AAAAAH//94o=")</f>
        <v>#VALUE!</v>
      </c>
      <c r="EJ5" t="e">
        <f>AND('Data '!C30,"AAAAAH//94s=")</f>
        <v>#VALUE!</v>
      </c>
      <c r="EK5" t="e">
        <f>AND('Data '!D30,"AAAAAH//94w=")</f>
        <v>#VALUE!</v>
      </c>
      <c r="EL5" t="e">
        <f>AND('Data '!E30,"AAAAAH//940=")</f>
        <v>#VALUE!</v>
      </c>
      <c r="EM5" t="e">
        <f>AND('Data '!F30,"AAAAAH//944=")</f>
        <v>#VALUE!</v>
      </c>
      <c r="EN5" t="e">
        <f>AND('Data '!G30,"AAAAAH//948=")</f>
        <v>#VALUE!</v>
      </c>
      <c r="EO5" t="e">
        <f>AND('Data '!H30,"AAAAAH//95A=")</f>
        <v>#VALUE!</v>
      </c>
      <c r="EP5" t="e">
        <f>AND('Data '!I30,"AAAAAH//95E=")</f>
        <v>#VALUE!</v>
      </c>
      <c r="EQ5" t="e">
        <f>AND('Data '!J30,"AAAAAH//95I=")</f>
        <v>#VALUE!</v>
      </c>
      <c r="ER5" t="e">
        <f>AND('Data '!K30,"AAAAAH//95M=")</f>
        <v>#VALUE!</v>
      </c>
      <c r="ES5" t="e">
        <f>AND('Data '!L30,"AAAAAH//95Q=")</f>
        <v>#VALUE!</v>
      </c>
      <c r="ET5" t="e">
        <f>AND('Data '!M30,"AAAAAH//95U=")</f>
        <v>#VALUE!</v>
      </c>
      <c r="EU5" t="e">
        <f>AND('Data '!N30,"AAAAAH//95Y=")</f>
        <v>#VALUE!</v>
      </c>
      <c r="EV5" t="e">
        <f>AND('Data '!O30,"AAAAAH//95c=")</f>
        <v>#VALUE!</v>
      </c>
      <c r="EW5" t="e">
        <f>AND('Data '!P30,"AAAAAH//95g=")</f>
        <v>#VALUE!</v>
      </c>
      <c r="EX5" t="e">
        <f>AND('Data '!Q30,"AAAAAH//95k=")</f>
        <v>#VALUE!</v>
      </c>
      <c r="EY5" t="e">
        <f>AND('Data '!R30,"AAAAAH//95o=")</f>
        <v>#VALUE!</v>
      </c>
      <c r="EZ5" t="e">
        <f>AND('Data '!S30,"AAAAAH//95s=")</f>
        <v>#VALUE!</v>
      </c>
      <c r="FA5" t="e">
        <f>AND('Data '!T30,"AAAAAH//95w=")</f>
        <v>#VALUE!</v>
      </c>
      <c r="FB5" t="e">
        <f>AND('Data '!U30,"AAAAAH//950=")</f>
        <v>#VALUE!</v>
      </c>
      <c r="FC5" t="e">
        <f>AND('Data '!V30,"AAAAAH//954=")</f>
        <v>#VALUE!</v>
      </c>
      <c r="FD5" t="e">
        <f>AND('Data '!W30,"AAAAAH//958=")</f>
        <v>#VALUE!</v>
      </c>
      <c r="FE5" t="e">
        <f>AND('Data '!X30,"AAAAAH//96A=")</f>
        <v>#VALUE!</v>
      </c>
      <c r="FF5" t="e">
        <f>AND('Data '!Y30,"AAAAAH//96E=")</f>
        <v>#VALUE!</v>
      </c>
      <c r="FG5" t="e">
        <f>AND('Data '!Z30,"AAAAAH//96I=")</f>
        <v>#VALUE!</v>
      </c>
      <c r="FH5" t="e">
        <f>AND('Data '!AA30,"AAAAAH//96M=")</f>
        <v>#VALUE!</v>
      </c>
      <c r="FI5" t="e">
        <f>AND('Data '!AB30,"AAAAAH//96Q=")</f>
        <v>#VALUE!</v>
      </c>
      <c r="FJ5" t="e">
        <f>AND('Data '!AC30,"AAAAAH//96U=")</f>
        <v>#VALUE!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>
        <f>IF('Data '!31:31,"AAAAAH//97A=",0)</f>
        <v>0</v>
      </c>
      <c r="FV5" t="e">
        <f>AND('Data '!A31,"AAAAAH//97E=")</f>
        <v>#VALUE!</v>
      </c>
      <c r="FW5" t="e">
        <f>AND('Data '!B31,"AAAAAH//97I=")</f>
        <v>#VALUE!</v>
      </c>
      <c r="FX5" t="e">
        <f>AND('Data '!C31,"AAAAAH//97M=")</f>
        <v>#VALUE!</v>
      </c>
      <c r="FY5" t="e">
        <f>AND('Data '!D31,"AAAAAH//97Q=")</f>
        <v>#VALUE!</v>
      </c>
      <c r="FZ5" t="e">
        <f>AND('Data '!E31,"AAAAAH//97U=")</f>
        <v>#VALUE!</v>
      </c>
      <c r="GA5" t="e">
        <f>AND('Data '!F31,"AAAAAH//97Y=")</f>
        <v>#VALUE!</v>
      </c>
      <c r="GB5" t="e">
        <f>AND('Data '!G31,"AAAAAH//97c=")</f>
        <v>#VALUE!</v>
      </c>
      <c r="GC5" t="e">
        <f>AND('Data '!H31,"AAAAAH//97g=")</f>
        <v>#VALUE!</v>
      </c>
      <c r="GD5" t="e">
        <f>AND('Data '!I31,"AAAAAH//97k=")</f>
        <v>#VALUE!</v>
      </c>
      <c r="GE5" t="e">
        <f>AND('Data '!J31,"AAAAAH//97o=")</f>
        <v>#VALUE!</v>
      </c>
      <c r="GF5" t="e">
        <f>AND('Data '!K31,"AAAAAH//97s=")</f>
        <v>#VALUE!</v>
      </c>
      <c r="GG5" t="e">
        <f>AND('Data '!L31,"AAAAAH//97w=")</f>
        <v>#VALUE!</v>
      </c>
      <c r="GH5" t="e">
        <f>AND('Data '!M31,"AAAAAH//970=")</f>
        <v>#VALUE!</v>
      </c>
      <c r="GI5" t="e">
        <f>AND('Data '!N31,"AAAAAH//974=")</f>
        <v>#VALUE!</v>
      </c>
      <c r="GJ5" t="e">
        <f>AND('Data '!O31,"AAAAAH//978=")</f>
        <v>#VALUE!</v>
      </c>
      <c r="GK5" t="e">
        <f>AND('Data '!P31,"AAAAAH//98A=")</f>
        <v>#VALUE!</v>
      </c>
      <c r="GL5" t="e">
        <f>AND('Data '!Q31,"AAAAAH//98E=")</f>
        <v>#VALUE!</v>
      </c>
      <c r="GM5" t="e">
        <f>AND('Data '!R31,"AAAAAH//98I=")</f>
        <v>#VALUE!</v>
      </c>
      <c r="GN5" t="e">
        <f>AND('Data '!S31,"AAAAAH//98M=")</f>
        <v>#VALUE!</v>
      </c>
      <c r="GO5" t="e">
        <f>AND('Data '!T31,"AAAAAH//98Q=")</f>
        <v>#VALUE!</v>
      </c>
      <c r="GP5" t="e">
        <f>AND('Data '!U31,"AAAAAH//98U=")</f>
        <v>#VALUE!</v>
      </c>
      <c r="GQ5" t="e">
        <f>AND('Data '!V31,"AAAAAH//98Y=")</f>
        <v>#VALUE!</v>
      </c>
      <c r="GR5" t="e">
        <f>AND('Data '!W31,"AAAAAH//98c=")</f>
        <v>#VALUE!</v>
      </c>
      <c r="GS5" t="e">
        <f>AND('Data '!X31,"AAAAAH//98g=")</f>
        <v>#VALUE!</v>
      </c>
      <c r="GT5" t="e">
        <f>AND('Data '!Y31,"AAAAAH//98k=")</f>
        <v>#VALUE!</v>
      </c>
      <c r="GU5" t="e">
        <f>AND('Data '!Z31,"AAAAAH//98o=")</f>
        <v>#VALUE!</v>
      </c>
      <c r="GV5" t="e">
        <f>AND('Data '!AA31,"AAAAAH//98s=")</f>
        <v>#VALUE!</v>
      </c>
      <c r="GW5" t="e">
        <f>AND('Data '!AB31,"AAAAAH//98w=")</f>
        <v>#VALUE!</v>
      </c>
      <c r="GX5" t="e">
        <f>AND('Data '!AC31,"AAAAAH//980=")</f>
        <v>#VALUE!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>
        <f>IF('Data '!32:32,"AAAAAH//99g=",0)</f>
        <v>0</v>
      </c>
      <c r="HJ5" t="e">
        <f>AND('Data '!A32,"AAAAAH//99k=")</f>
        <v>#VALUE!</v>
      </c>
      <c r="HK5" t="e">
        <f>AND('Data '!B32,"AAAAAH//99o=")</f>
        <v>#VALUE!</v>
      </c>
      <c r="HL5" t="e">
        <f>AND('Data '!C32,"AAAAAH//99s=")</f>
        <v>#VALUE!</v>
      </c>
      <c r="HM5" t="e">
        <f>AND('Data '!D32,"AAAAAH//99w=")</f>
        <v>#VALUE!</v>
      </c>
      <c r="HN5" t="e">
        <f>AND('Data '!E32,"AAAAAH//990=")</f>
        <v>#VALUE!</v>
      </c>
      <c r="HO5" t="e">
        <f>AND('Data '!F32,"AAAAAH//994=")</f>
        <v>#VALUE!</v>
      </c>
      <c r="HP5" t="e">
        <f>AND('Data '!G32,"AAAAAH//998=")</f>
        <v>#VALUE!</v>
      </c>
      <c r="HQ5" t="e">
        <f>AND('Data '!H32,"AAAAAH//9+A=")</f>
        <v>#VALUE!</v>
      </c>
      <c r="HR5" t="e">
        <f>AND('Data '!I32,"AAAAAH//9+E=")</f>
        <v>#VALUE!</v>
      </c>
      <c r="HS5" t="e">
        <f>AND('Data '!J32,"AAAAAH//9+I=")</f>
        <v>#VALUE!</v>
      </c>
      <c r="HT5" t="e">
        <f>AND('Data '!K32,"AAAAAH//9+M=")</f>
        <v>#VALUE!</v>
      </c>
      <c r="HU5" t="e">
        <f>AND('Data '!L32,"AAAAAH//9+Q=")</f>
        <v>#VALUE!</v>
      </c>
      <c r="HV5" t="e">
        <f>AND('Data '!M32,"AAAAAH//9+U=")</f>
        <v>#VALUE!</v>
      </c>
      <c r="HW5" t="e">
        <f>AND('Data '!N32,"AAAAAH//9+Y=")</f>
        <v>#VALUE!</v>
      </c>
      <c r="HX5" t="e">
        <f>AND('Data '!O32,"AAAAAH//9+c=")</f>
        <v>#VALUE!</v>
      </c>
      <c r="HY5" t="e">
        <f>AND('Data '!P32,"AAAAAH//9+g=")</f>
        <v>#VALUE!</v>
      </c>
      <c r="HZ5" t="e">
        <f>AND('Data '!Q32,"AAAAAH//9+k=")</f>
        <v>#VALUE!</v>
      </c>
      <c r="IA5" t="e">
        <f>AND('Data '!R32,"AAAAAH//9+o=")</f>
        <v>#VALUE!</v>
      </c>
      <c r="IB5" t="e">
        <f>AND('Data '!S32,"AAAAAH//9+s=")</f>
        <v>#VALUE!</v>
      </c>
      <c r="IC5" t="e">
        <f>AND('Data '!T32,"AAAAAH//9+w=")</f>
        <v>#VALUE!</v>
      </c>
      <c r="ID5" t="e">
        <f>AND('Data '!U32,"AAAAAH//9+0=")</f>
        <v>#VALUE!</v>
      </c>
      <c r="IE5" t="e">
        <f>AND('Data '!V32,"AAAAAH//9+4=")</f>
        <v>#VALUE!</v>
      </c>
      <c r="IF5" t="e">
        <f>AND('Data '!W32,"AAAAAH//9+8=")</f>
        <v>#VALUE!</v>
      </c>
      <c r="IG5" t="e">
        <f>AND('Data '!X32,"AAAAAH//9/A=")</f>
        <v>#VALUE!</v>
      </c>
      <c r="IH5" t="e">
        <f>AND('Data '!Y32,"AAAAAH//9/E=")</f>
        <v>#VALUE!</v>
      </c>
      <c r="II5" t="e">
        <f>AND('Data '!Z32,"AAAAAH//9/I=")</f>
        <v>#VALUE!</v>
      </c>
      <c r="IJ5" t="e">
        <f>AND('Data '!AA32,"AAAAAH//9/M=")</f>
        <v>#VALUE!</v>
      </c>
      <c r="IK5" t="e">
        <f>AND('Data '!AB32,"AAAAAH//9/Q=")</f>
        <v>#VALUE!</v>
      </c>
      <c r="IL5" t="e">
        <f>AND('Data '!AC32,"AAAAAH//9/U=")</f>
        <v>#VALUE!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ht="12.75">
      <c r="A6" t="e">
        <f>IF('Data '!33:33,"AAAAAF/39QA=",0)</f>
        <v>#VALUE!</v>
      </c>
      <c r="B6" t="e">
        <f>AND('Data '!A33,"AAAAAF/39QE=")</f>
        <v>#VALUE!</v>
      </c>
      <c r="C6" t="e">
        <f>AND('Data '!B33,"AAAAAF/39QI=")</f>
        <v>#VALUE!</v>
      </c>
      <c r="D6" t="e">
        <f>AND('Data '!C33,"AAAAAF/39QM=")</f>
        <v>#VALUE!</v>
      </c>
      <c r="E6" t="e">
        <f>AND('Data '!D33,"AAAAAF/39QQ=")</f>
        <v>#VALUE!</v>
      </c>
      <c r="F6" t="e">
        <f>AND('Data '!E33,"AAAAAF/39QU=")</f>
        <v>#VALUE!</v>
      </c>
      <c r="G6" t="e">
        <f>AND('Data '!F33,"AAAAAF/39QY=")</f>
        <v>#VALUE!</v>
      </c>
      <c r="H6" t="e">
        <f>AND('Data '!G33,"AAAAAF/39Qc=")</f>
        <v>#VALUE!</v>
      </c>
      <c r="I6" t="e">
        <f>AND('Data '!H33,"AAAAAF/39Qg=")</f>
        <v>#VALUE!</v>
      </c>
      <c r="J6" t="e">
        <f>AND('Data '!I33,"AAAAAF/39Qk=")</f>
        <v>#VALUE!</v>
      </c>
      <c r="K6" t="e">
        <f>AND('Data '!J33,"AAAAAF/39Qo=")</f>
        <v>#VALUE!</v>
      </c>
      <c r="L6" t="e">
        <f>AND('Data '!K33,"AAAAAF/39Qs=")</f>
        <v>#VALUE!</v>
      </c>
      <c r="M6" t="e">
        <f>AND('Data '!L33,"AAAAAF/39Qw=")</f>
        <v>#VALUE!</v>
      </c>
      <c r="N6" t="e">
        <f>AND('Data '!M33,"AAAAAF/39Q0=")</f>
        <v>#VALUE!</v>
      </c>
      <c r="O6" t="e">
        <f>AND('Data '!N33,"AAAAAF/39Q4=")</f>
        <v>#VALUE!</v>
      </c>
      <c r="P6" t="e">
        <f>AND('Data '!O33,"AAAAAF/39Q8=")</f>
        <v>#VALUE!</v>
      </c>
      <c r="Q6" t="e">
        <f>AND('Data '!P33,"AAAAAF/39RA=")</f>
        <v>#VALUE!</v>
      </c>
      <c r="R6" t="e">
        <f>AND('Data '!Q33,"AAAAAF/39RE=")</f>
        <v>#VALUE!</v>
      </c>
      <c r="S6" t="e">
        <f>AND('Data '!R33,"AAAAAF/39RI=")</f>
        <v>#VALUE!</v>
      </c>
      <c r="T6" t="e">
        <f>AND('Data '!S33,"AAAAAF/39RM=")</f>
        <v>#VALUE!</v>
      </c>
      <c r="U6" t="e">
        <f>AND('Data '!T33,"AAAAAF/39RQ=")</f>
        <v>#VALUE!</v>
      </c>
      <c r="V6" t="e">
        <f>AND('Data '!U33,"AAAAAF/39RU=")</f>
        <v>#VALUE!</v>
      </c>
      <c r="W6" t="e">
        <f>AND('Data '!V33,"AAAAAF/39RY=")</f>
        <v>#VALUE!</v>
      </c>
      <c r="X6" t="e">
        <f>AND('Data '!W33,"AAAAAF/39Rc=")</f>
        <v>#VALUE!</v>
      </c>
      <c r="Y6" t="e">
        <f>AND('Data '!X33,"AAAAAF/39Rg=")</f>
        <v>#VALUE!</v>
      </c>
      <c r="Z6" t="e">
        <f>AND('Data '!Y33,"AAAAAF/39Rk=")</f>
        <v>#VALUE!</v>
      </c>
      <c r="AA6" t="e">
        <f>AND('Data '!Z33,"AAAAAF/39Ro=")</f>
        <v>#VALUE!</v>
      </c>
      <c r="AB6" t="e">
        <f>AND('Data '!AA33,"AAAAAF/39Rs=")</f>
        <v>#VALUE!</v>
      </c>
      <c r="AC6" t="e">
        <f>AND('Data '!AB33,"AAAAAF/39Rw=")</f>
        <v>#VALUE!</v>
      </c>
      <c r="AD6" t="e">
        <f>AND('Data '!AC33,"AAAAAF/39R0=")</f>
        <v>#VALUE!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>
        <f>IF('Data '!34:34,"AAAAAF/39Sg=",0)</f>
        <v>0</v>
      </c>
      <c r="AP6" t="e">
        <f>AND('Data '!A34,"AAAAAF/39Sk=")</f>
        <v>#VALUE!</v>
      </c>
      <c r="AQ6" t="e">
        <f>AND('Data '!B34,"AAAAAF/39So=")</f>
        <v>#VALUE!</v>
      </c>
      <c r="AR6" t="e">
        <f>AND('Data '!C34,"AAAAAF/39Ss=")</f>
        <v>#VALUE!</v>
      </c>
      <c r="AS6" t="e">
        <f>AND('Data '!D34,"AAAAAF/39Sw=")</f>
        <v>#VALUE!</v>
      </c>
      <c r="AT6" t="e">
        <f>AND('Data '!E34,"AAAAAF/39S0=")</f>
        <v>#VALUE!</v>
      </c>
      <c r="AU6" t="e">
        <f>AND('Data '!F34,"AAAAAF/39S4=")</f>
        <v>#VALUE!</v>
      </c>
      <c r="AV6" t="e">
        <f>AND('Data '!G34,"AAAAAF/39S8=")</f>
        <v>#VALUE!</v>
      </c>
      <c r="AW6" t="e">
        <f>AND('Data '!H34,"AAAAAF/39TA=")</f>
        <v>#VALUE!</v>
      </c>
      <c r="AX6" t="e">
        <f>AND('Data '!I34,"AAAAAF/39TE=")</f>
        <v>#VALUE!</v>
      </c>
      <c r="AY6" t="e">
        <f>AND('Data '!J34,"AAAAAF/39TI=")</f>
        <v>#VALUE!</v>
      </c>
      <c r="AZ6" t="e">
        <f>AND('Data '!K34,"AAAAAF/39TM=")</f>
        <v>#VALUE!</v>
      </c>
      <c r="BA6" t="e">
        <f>AND('Data '!L34,"AAAAAF/39TQ=")</f>
        <v>#VALUE!</v>
      </c>
      <c r="BB6" t="e">
        <f>AND('Data '!M34,"AAAAAF/39TU=")</f>
        <v>#VALUE!</v>
      </c>
      <c r="BC6" t="e">
        <f>AND('Data '!N34,"AAAAAF/39TY=")</f>
        <v>#VALUE!</v>
      </c>
      <c r="BD6" t="e">
        <f>AND('Data '!O34,"AAAAAF/39Tc=")</f>
        <v>#VALUE!</v>
      </c>
      <c r="BE6" t="e">
        <f>AND('Data '!P34,"AAAAAF/39Tg=")</f>
        <v>#VALUE!</v>
      </c>
      <c r="BF6" t="e">
        <f>AND('Data '!Q34,"AAAAAF/39Tk=")</f>
        <v>#VALUE!</v>
      </c>
      <c r="BG6" t="e">
        <f>AND('Data '!R34,"AAAAAF/39To=")</f>
        <v>#VALUE!</v>
      </c>
      <c r="BH6" t="e">
        <f>AND('Data '!S34,"AAAAAF/39Ts=")</f>
        <v>#VALUE!</v>
      </c>
      <c r="BI6" t="e">
        <f>AND('Data '!T34,"AAAAAF/39Tw=")</f>
        <v>#VALUE!</v>
      </c>
      <c r="BJ6" t="e">
        <f>AND('Data '!U34,"AAAAAF/39T0=")</f>
        <v>#VALUE!</v>
      </c>
      <c r="BK6" t="e">
        <f>AND('Data '!V34,"AAAAAF/39T4=")</f>
        <v>#VALUE!</v>
      </c>
      <c r="BL6" t="e">
        <f>AND('Data '!W34,"AAAAAF/39T8=")</f>
        <v>#VALUE!</v>
      </c>
      <c r="BM6" t="e">
        <f>AND('Data '!X34,"AAAAAF/39UA=")</f>
        <v>#VALUE!</v>
      </c>
      <c r="BN6" t="e">
        <f>AND('Data '!Y34,"AAAAAF/39UE=")</f>
        <v>#VALUE!</v>
      </c>
      <c r="BO6" t="e">
        <f>AND('Data '!Z34,"AAAAAF/39UI=")</f>
        <v>#VALUE!</v>
      </c>
      <c r="BP6" t="e">
        <f>AND('Data '!AA34,"AAAAAF/39UM=")</f>
        <v>#VALUE!</v>
      </c>
      <c r="BQ6" t="e">
        <f>AND('Data '!AB34,"AAAAAF/39UQ=")</f>
        <v>#VALUE!</v>
      </c>
      <c r="BR6" t="e">
        <f>AND('Data '!AC34,"AAAAAF/39UU=")</f>
        <v>#VALUE!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'!35:35,"AAAAAF/39VA=",0)</f>
        <v>0</v>
      </c>
      <c r="CD6" t="e">
        <f>AND('Data '!A35,"AAAAAF/39VE=")</f>
        <v>#VALUE!</v>
      </c>
      <c r="CE6" t="e">
        <f>AND('Data '!B35,"AAAAAF/39VI=")</f>
        <v>#VALUE!</v>
      </c>
      <c r="CF6" t="e">
        <f>AND('Data '!C35,"AAAAAF/39VM=")</f>
        <v>#VALUE!</v>
      </c>
      <c r="CG6" t="e">
        <f>AND('Data '!D35,"AAAAAF/39VQ=")</f>
        <v>#VALUE!</v>
      </c>
      <c r="CH6" t="e">
        <f>AND('Data '!E35,"AAAAAF/39VU=")</f>
        <v>#VALUE!</v>
      </c>
      <c r="CI6" t="e">
        <f>AND('Data '!F35,"AAAAAF/39VY=")</f>
        <v>#VALUE!</v>
      </c>
      <c r="CJ6" t="e">
        <f>AND('Data '!G35,"AAAAAF/39Vc=")</f>
        <v>#VALUE!</v>
      </c>
      <c r="CK6" t="e">
        <f>AND('Data '!H35,"AAAAAF/39Vg=")</f>
        <v>#VALUE!</v>
      </c>
      <c r="CL6" t="e">
        <f>AND('Data '!I35,"AAAAAF/39Vk=")</f>
        <v>#VALUE!</v>
      </c>
      <c r="CM6" t="e">
        <f>AND('Data '!J35,"AAAAAF/39Vo=")</f>
        <v>#VALUE!</v>
      </c>
      <c r="CN6" t="e">
        <f>AND('Data '!K35,"AAAAAF/39Vs=")</f>
        <v>#VALUE!</v>
      </c>
      <c r="CO6" t="e">
        <f>AND('Data '!L35,"AAAAAF/39Vw=")</f>
        <v>#VALUE!</v>
      </c>
      <c r="CP6" t="e">
        <f>AND('Data '!M35,"AAAAAF/39V0=")</f>
        <v>#VALUE!</v>
      </c>
      <c r="CQ6" t="e">
        <f>AND('Data '!N35,"AAAAAF/39V4=")</f>
        <v>#VALUE!</v>
      </c>
      <c r="CR6" t="e">
        <f>AND('Data '!O35,"AAAAAF/39V8=")</f>
        <v>#VALUE!</v>
      </c>
      <c r="CS6" t="e">
        <f>AND('Data '!P35,"AAAAAF/39WA=")</f>
        <v>#VALUE!</v>
      </c>
      <c r="CT6" t="e">
        <f>AND('Data '!Q35,"AAAAAF/39WE=")</f>
        <v>#VALUE!</v>
      </c>
      <c r="CU6" t="e">
        <f>AND('Data '!R35,"AAAAAF/39WI=")</f>
        <v>#VALUE!</v>
      </c>
      <c r="CV6" t="e">
        <f>AND('Data '!S35,"AAAAAF/39WM=")</f>
        <v>#VALUE!</v>
      </c>
      <c r="CW6" t="e">
        <f>AND('Data '!T35,"AAAAAF/39WQ=")</f>
        <v>#VALUE!</v>
      </c>
      <c r="CX6" t="e">
        <f>AND('Data '!U35,"AAAAAF/39WU=")</f>
        <v>#VALUE!</v>
      </c>
      <c r="CY6" t="e">
        <f>AND('Data '!V35,"AAAAAF/39WY=")</f>
        <v>#VALUE!</v>
      </c>
      <c r="CZ6" t="e">
        <f>AND('Data '!W35,"AAAAAF/39Wc=")</f>
        <v>#VALUE!</v>
      </c>
      <c r="DA6" t="e">
        <f>AND('Data '!X35,"AAAAAF/39Wg=")</f>
        <v>#VALUE!</v>
      </c>
      <c r="DB6" t="e">
        <f>AND('Data '!Y35,"AAAAAF/39Wk=")</f>
        <v>#VALUE!</v>
      </c>
      <c r="DC6" t="e">
        <f>AND('Data '!Z35,"AAAAAF/39Wo=")</f>
        <v>#VALUE!</v>
      </c>
      <c r="DD6" t="e">
        <f>AND('Data '!AA35,"AAAAAF/39Ws=")</f>
        <v>#VALUE!</v>
      </c>
      <c r="DE6" t="e">
        <f>AND('Data '!AB35,"AAAAAF/39Ww=")</f>
        <v>#VALUE!</v>
      </c>
      <c r="DF6" t="e">
        <f>AND('Data '!AC35,"AAAAAF/39W0=")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'!36:36,"AAAAAF/39Xg=",0)</f>
        <v>0</v>
      </c>
      <c r="DR6" t="e">
        <f>AND('Data '!A36,"AAAAAF/39Xk=")</f>
        <v>#VALUE!</v>
      </c>
      <c r="DS6" t="e">
        <f>AND('Data '!B36,"AAAAAF/39Xo=")</f>
        <v>#VALUE!</v>
      </c>
      <c r="DT6" t="e">
        <f>AND('Data '!C36,"AAAAAF/39Xs=")</f>
        <v>#VALUE!</v>
      </c>
      <c r="DU6" t="e">
        <f>AND('Data '!D36,"AAAAAF/39Xw=")</f>
        <v>#VALUE!</v>
      </c>
      <c r="DV6" t="e">
        <f>AND('Data '!E36,"AAAAAF/39X0=")</f>
        <v>#VALUE!</v>
      </c>
      <c r="DW6" t="e">
        <f>AND('Data '!F36,"AAAAAF/39X4=")</f>
        <v>#VALUE!</v>
      </c>
      <c r="DX6" t="e">
        <f>AND('Data '!G36,"AAAAAF/39X8=")</f>
        <v>#VALUE!</v>
      </c>
      <c r="DY6" t="e">
        <f>AND('Data '!H36,"AAAAAF/39YA=")</f>
        <v>#VALUE!</v>
      </c>
      <c r="DZ6" t="e">
        <f>AND('Data '!I36,"AAAAAF/39YE=")</f>
        <v>#VALUE!</v>
      </c>
      <c r="EA6" t="e">
        <f>AND('Data '!J36,"AAAAAF/39YI=")</f>
        <v>#VALUE!</v>
      </c>
      <c r="EB6" t="e">
        <f>AND('Data '!K36,"AAAAAF/39YM=")</f>
        <v>#VALUE!</v>
      </c>
      <c r="EC6" t="e">
        <f>AND('Data '!L36,"AAAAAF/39YQ=")</f>
        <v>#VALUE!</v>
      </c>
      <c r="ED6" t="e">
        <f>AND('Data '!M36,"AAAAAF/39YU=")</f>
        <v>#VALUE!</v>
      </c>
      <c r="EE6" t="e">
        <f>AND('Data '!N36,"AAAAAF/39YY=")</f>
        <v>#VALUE!</v>
      </c>
      <c r="EF6" t="e">
        <f>AND('Data '!O36,"AAAAAF/39Yc=")</f>
        <v>#VALUE!</v>
      </c>
      <c r="EG6" t="e">
        <f>AND('Data '!P36,"AAAAAF/39Yg=")</f>
        <v>#VALUE!</v>
      </c>
      <c r="EH6" t="e">
        <f>AND('Data '!Q36,"AAAAAF/39Yk=")</f>
        <v>#VALUE!</v>
      </c>
      <c r="EI6" t="e">
        <f>AND('Data '!R36,"AAAAAF/39Yo=")</f>
        <v>#VALUE!</v>
      </c>
      <c r="EJ6" t="e">
        <f>AND('Data '!S36,"AAAAAF/39Ys=")</f>
        <v>#VALUE!</v>
      </c>
      <c r="EK6" t="e">
        <f>AND('Data '!T36,"AAAAAF/39Yw=")</f>
        <v>#VALUE!</v>
      </c>
      <c r="EL6" t="e">
        <f>AND('Data '!U36,"AAAAAF/39Y0=")</f>
        <v>#VALUE!</v>
      </c>
      <c r="EM6" t="e">
        <f>AND('Data '!V36,"AAAAAF/39Y4=")</f>
        <v>#VALUE!</v>
      </c>
      <c r="EN6" t="e">
        <f>AND('Data '!W36,"AAAAAF/39Y8=")</f>
        <v>#VALUE!</v>
      </c>
      <c r="EO6" t="e">
        <f>AND('Data '!X36,"AAAAAF/39ZA=")</f>
        <v>#VALUE!</v>
      </c>
      <c r="EP6" t="e">
        <f>AND('Data '!Y36,"AAAAAF/39ZE=")</f>
        <v>#VALUE!</v>
      </c>
      <c r="EQ6" t="e">
        <f>AND('Data '!Z36,"AAAAAF/39ZI=")</f>
        <v>#VALUE!</v>
      </c>
      <c r="ER6" t="e">
        <f>AND('Data '!AA36,"AAAAAF/39ZM=")</f>
        <v>#VALUE!</v>
      </c>
      <c r="ES6" t="e">
        <f>AND('Data '!AB36,"AAAAAF/39ZQ=")</f>
        <v>#VALUE!</v>
      </c>
      <c r="ET6" t="e">
        <f>AND('Data '!AC36,"AAAAAF/39ZU=")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'!37:37,"AAAAAF/39aA=",0)</f>
        <v>0</v>
      </c>
      <c r="FF6" t="e">
        <f>AND('Data '!A37,"AAAAAF/39aE=")</f>
        <v>#VALUE!</v>
      </c>
      <c r="FG6" t="e">
        <f>AND('Data '!B37,"AAAAAF/39aI=")</f>
        <v>#VALUE!</v>
      </c>
      <c r="FH6" t="e">
        <f>AND('Data '!C37,"AAAAAF/39aM=")</f>
        <v>#VALUE!</v>
      </c>
      <c r="FI6" t="e">
        <f>AND('Data '!D37,"AAAAAF/39aQ=")</f>
        <v>#VALUE!</v>
      </c>
      <c r="FJ6" t="e">
        <f>AND('Data '!E37,"AAAAAF/39aU=")</f>
        <v>#VALUE!</v>
      </c>
      <c r="FK6" t="e">
        <f>AND('Data '!F37,"AAAAAF/39aY=")</f>
        <v>#VALUE!</v>
      </c>
      <c r="FL6" t="e">
        <f>AND('Data '!G37,"AAAAAF/39ac=")</f>
        <v>#VALUE!</v>
      </c>
      <c r="FM6" t="e">
        <f>AND('Data '!H37,"AAAAAF/39ag=")</f>
        <v>#VALUE!</v>
      </c>
      <c r="FN6" t="e">
        <f>AND('Data '!I37,"AAAAAF/39ak=")</f>
        <v>#VALUE!</v>
      </c>
      <c r="FO6" t="e">
        <f>AND('Data '!J37,"AAAAAF/39ao=")</f>
        <v>#VALUE!</v>
      </c>
      <c r="FP6" t="e">
        <f>AND('Data '!K37,"AAAAAF/39as=")</f>
        <v>#VALUE!</v>
      </c>
      <c r="FQ6" t="e">
        <f>AND('Data '!L37,"AAAAAF/39aw=")</f>
        <v>#VALUE!</v>
      </c>
      <c r="FR6" t="e">
        <f>AND('Data '!M37,"AAAAAF/39a0=")</f>
        <v>#VALUE!</v>
      </c>
      <c r="FS6" t="e">
        <f>AND('Data '!N37,"AAAAAF/39a4=")</f>
        <v>#VALUE!</v>
      </c>
      <c r="FT6" t="e">
        <f>AND('Data '!O37,"AAAAAF/39a8=")</f>
        <v>#VALUE!</v>
      </c>
      <c r="FU6" t="e">
        <f>AND('Data '!P37,"AAAAAF/39bA=")</f>
        <v>#VALUE!</v>
      </c>
      <c r="FV6" t="e">
        <f>AND('Data '!Q37,"AAAAAF/39bE=")</f>
        <v>#VALUE!</v>
      </c>
      <c r="FW6" t="e">
        <f>AND('Data '!R37,"AAAAAF/39bI=")</f>
        <v>#VALUE!</v>
      </c>
      <c r="FX6" t="e">
        <f>AND('Data '!S37,"AAAAAF/39bM=")</f>
        <v>#VALUE!</v>
      </c>
      <c r="FY6" t="e">
        <f>AND('Data '!T37,"AAAAAF/39bQ=")</f>
        <v>#VALUE!</v>
      </c>
      <c r="FZ6" t="e">
        <f>AND('Data '!U37,"AAAAAF/39bU=")</f>
        <v>#VALUE!</v>
      </c>
      <c r="GA6" t="e">
        <f>AND('Data '!V37,"AAAAAF/39bY=")</f>
        <v>#VALUE!</v>
      </c>
      <c r="GB6" t="e">
        <f>AND('Data '!W37,"AAAAAF/39bc=")</f>
        <v>#VALUE!</v>
      </c>
      <c r="GC6" t="e">
        <f>AND('Data '!X37,"AAAAAF/39bg=")</f>
        <v>#VALUE!</v>
      </c>
      <c r="GD6" t="e">
        <f>AND('Data '!Y37,"AAAAAF/39bk=")</f>
        <v>#VALUE!</v>
      </c>
      <c r="GE6" t="e">
        <f>AND('Data '!Z37,"AAAAAF/39bo=")</f>
        <v>#VALUE!</v>
      </c>
      <c r="GF6" t="e">
        <f>AND('Data '!AA37,"AAAAAF/39bs=")</f>
        <v>#VALUE!</v>
      </c>
      <c r="GG6" t="e">
        <f>AND('Data '!AB37,"AAAAAF/39bw=")</f>
        <v>#VALUE!</v>
      </c>
      <c r="GH6" t="e">
        <f>AND('Data '!AC37,"AAAAAF/39b0=")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'!38:38,"AAAAAF/39cg=",0)</f>
        <v>0</v>
      </c>
      <c r="GT6" t="e">
        <f>AND('Data '!A38,"AAAAAF/39ck=")</f>
        <v>#VALUE!</v>
      </c>
      <c r="GU6" t="e">
        <f>AND('Data '!B38,"AAAAAF/39co=")</f>
        <v>#VALUE!</v>
      </c>
      <c r="GV6" t="e">
        <f>AND('Data '!C38,"AAAAAF/39cs=")</f>
        <v>#VALUE!</v>
      </c>
      <c r="GW6" t="e">
        <f>AND('Data '!D38,"AAAAAF/39cw=")</f>
        <v>#VALUE!</v>
      </c>
      <c r="GX6" t="e">
        <f>AND('Data '!E38,"AAAAAF/39c0=")</f>
        <v>#VALUE!</v>
      </c>
      <c r="GY6" t="e">
        <f>AND('Data '!F38,"AAAAAF/39c4=")</f>
        <v>#VALUE!</v>
      </c>
      <c r="GZ6" t="e">
        <f>AND('Data '!G38,"AAAAAF/39c8=")</f>
        <v>#VALUE!</v>
      </c>
      <c r="HA6" t="e">
        <f>AND('Data '!H38,"AAAAAF/39dA=")</f>
        <v>#VALUE!</v>
      </c>
      <c r="HB6" t="e">
        <f>AND('Data '!I38,"AAAAAF/39dE=")</f>
        <v>#VALUE!</v>
      </c>
      <c r="HC6" t="e">
        <f>AND('Data '!J38,"AAAAAF/39dI=")</f>
        <v>#VALUE!</v>
      </c>
      <c r="HD6" t="e">
        <f>AND('Data '!K38,"AAAAAF/39dM=")</f>
        <v>#VALUE!</v>
      </c>
      <c r="HE6" t="e">
        <f>AND('Data '!L38,"AAAAAF/39dQ=")</f>
        <v>#VALUE!</v>
      </c>
      <c r="HF6" t="e">
        <f>AND('Data '!M38,"AAAAAF/39dU=")</f>
        <v>#VALUE!</v>
      </c>
      <c r="HG6" t="e">
        <f>AND('Data '!N38,"AAAAAF/39dY=")</f>
        <v>#VALUE!</v>
      </c>
      <c r="HH6" t="e">
        <f>AND('Data '!O38,"AAAAAF/39dc=")</f>
        <v>#VALUE!</v>
      </c>
      <c r="HI6" t="e">
        <f>AND('Data '!P38,"AAAAAF/39dg=")</f>
        <v>#VALUE!</v>
      </c>
      <c r="HJ6" t="e">
        <f>AND('Data '!Q38,"AAAAAF/39dk=")</f>
        <v>#VALUE!</v>
      </c>
      <c r="HK6" t="e">
        <f>AND('Data '!R38,"AAAAAF/39do=")</f>
        <v>#VALUE!</v>
      </c>
      <c r="HL6" t="e">
        <f>AND('Data '!S38,"AAAAAF/39ds=")</f>
        <v>#VALUE!</v>
      </c>
      <c r="HM6" t="e">
        <f>AND('Data '!T38,"AAAAAF/39dw=")</f>
        <v>#VALUE!</v>
      </c>
      <c r="HN6" t="e">
        <f>AND('Data '!U38,"AAAAAF/39d0=")</f>
        <v>#VALUE!</v>
      </c>
      <c r="HO6" t="e">
        <f>AND('Data '!V38,"AAAAAF/39d4=")</f>
        <v>#VALUE!</v>
      </c>
      <c r="HP6" t="e">
        <f>AND('Data '!W38,"AAAAAF/39d8=")</f>
        <v>#VALUE!</v>
      </c>
      <c r="HQ6" t="e">
        <f>AND('Data '!X38,"AAAAAF/39eA=")</f>
        <v>#VALUE!</v>
      </c>
      <c r="HR6" t="e">
        <f>AND('Data '!Y38,"AAAAAF/39eE=")</f>
        <v>#VALUE!</v>
      </c>
      <c r="HS6" t="e">
        <f>AND('Data '!Z38,"AAAAAF/39eI=")</f>
        <v>#VALUE!</v>
      </c>
      <c r="HT6" t="e">
        <f>AND('Data '!AA38,"AAAAAF/39eM=")</f>
        <v>#VALUE!</v>
      </c>
      <c r="HU6" t="e">
        <f>AND('Data '!AB38,"AAAAAF/39eQ=")</f>
        <v>#VALUE!</v>
      </c>
      <c r="HV6" t="e">
        <f>AND('Data '!AC38,"AAAAAF/39eU=")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'!39:39,"AAAAAF/39fA=",0)</f>
        <v>0</v>
      </c>
      <c r="IH6" t="e">
        <f>AND('Data '!A39,"AAAAAF/39fE=")</f>
        <v>#VALUE!</v>
      </c>
      <c r="II6" t="e">
        <f>AND('Data '!B39,"AAAAAF/39fI=")</f>
        <v>#VALUE!</v>
      </c>
      <c r="IJ6" t="e">
        <f>AND('Data '!C39,"AAAAAF/39fM=")</f>
        <v>#VALUE!</v>
      </c>
      <c r="IK6" t="e">
        <f>AND('Data '!D39,"AAAAAF/39fQ=")</f>
        <v>#VALUE!</v>
      </c>
      <c r="IL6" t="e">
        <f>AND('Data '!E39,"AAAAAF/39fU=")</f>
        <v>#VALUE!</v>
      </c>
      <c r="IM6" t="e">
        <f>AND('Data '!F39,"AAAAAF/39fY=")</f>
        <v>#VALUE!</v>
      </c>
      <c r="IN6" t="e">
        <f>AND('Data '!G39,"AAAAAF/39fc=")</f>
        <v>#VALUE!</v>
      </c>
      <c r="IO6" t="e">
        <f>AND('Data '!H39,"AAAAAF/39fg=")</f>
        <v>#VALUE!</v>
      </c>
      <c r="IP6" t="e">
        <f>AND('Data '!I39,"AAAAAF/39fk=")</f>
        <v>#VALUE!</v>
      </c>
      <c r="IQ6" t="e">
        <f>AND('Data '!J39,"AAAAAF/39fo=")</f>
        <v>#VALUE!</v>
      </c>
      <c r="IR6" t="e">
        <f>AND('Data '!K39,"AAAAAF/39fs=")</f>
        <v>#VALUE!</v>
      </c>
      <c r="IS6" t="e">
        <f>AND('Data '!L39,"AAAAAF/39fw=")</f>
        <v>#VALUE!</v>
      </c>
      <c r="IT6" t="e">
        <f>AND('Data '!M39,"AAAAAF/39f0=")</f>
        <v>#VALUE!</v>
      </c>
      <c r="IU6" t="e">
        <f>AND('Data '!N39,"AAAAAF/39f4=")</f>
        <v>#VALUE!</v>
      </c>
      <c r="IV6" t="e">
        <f>AND('Data '!O39,"AAAAAF/39f8=")</f>
        <v>#VALUE!</v>
      </c>
    </row>
    <row r="7" spans="1:256" ht="12.75">
      <c r="A7" t="e">
        <f>AND('Data '!P39,"AAAAAF96GQA=")</f>
        <v>#VALUE!</v>
      </c>
      <c r="B7" t="e">
        <f>AND('Data '!Q39,"AAAAAF96GQE=")</f>
        <v>#VALUE!</v>
      </c>
      <c r="C7" t="e">
        <f>AND('Data '!R39,"AAAAAF96GQI=")</f>
        <v>#VALUE!</v>
      </c>
      <c r="D7" t="e">
        <f>AND('Data '!S39,"AAAAAF96GQM=")</f>
        <v>#VALUE!</v>
      </c>
      <c r="E7" t="e">
        <f>AND('Data '!T39,"AAAAAF96GQQ=")</f>
        <v>#VALUE!</v>
      </c>
      <c r="F7" t="e">
        <f>AND('Data '!U39,"AAAAAF96GQU=")</f>
        <v>#VALUE!</v>
      </c>
      <c r="G7" t="e">
        <f>AND('Data '!V39,"AAAAAF96GQY=")</f>
        <v>#VALUE!</v>
      </c>
      <c r="H7" t="e">
        <f>AND('Data '!W39,"AAAAAF96GQc=")</f>
        <v>#VALUE!</v>
      </c>
      <c r="I7" t="e">
        <f>AND('Data '!X39,"AAAAAF96GQg=")</f>
        <v>#VALUE!</v>
      </c>
      <c r="J7" t="e">
        <f>AND('Data '!Y39,"AAAAAF96GQk=")</f>
        <v>#VALUE!</v>
      </c>
      <c r="K7" t="e">
        <f>AND('Data '!Z39,"AAAAAF96GQo=")</f>
        <v>#VALUE!</v>
      </c>
      <c r="L7" t="e">
        <f>AND('Data '!AA39,"AAAAAF96GQs=")</f>
        <v>#VALUE!</v>
      </c>
      <c r="M7" t="e">
        <f>AND('Data '!AB39,"AAAAAF96GQw=")</f>
        <v>#VALUE!</v>
      </c>
      <c r="N7" t="e">
        <f>AND('Data '!AC39,"AAAAAF96GQ0=")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'!40:40,"AAAAAF96GRg=",0)</f>
        <v>0</v>
      </c>
      <c r="Z7" t="e">
        <f>AND('Data '!A40,"AAAAAF96GRk=")</f>
        <v>#VALUE!</v>
      </c>
      <c r="AA7" t="e">
        <f>AND('Data '!B40,"AAAAAF96GRo=")</f>
        <v>#VALUE!</v>
      </c>
      <c r="AB7" t="e">
        <f>AND('Data '!C40,"AAAAAF96GRs=")</f>
        <v>#VALUE!</v>
      </c>
      <c r="AC7" t="e">
        <f>AND('Data '!D40,"AAAAAF96GRw=")</f>
        <v>#VALUE!</v>
      </c>
      <c r="AD7" t="e">
        <f>AND('Data '!E40,"AAAAAF96GR0=")</f>
        <v>#VALUE!</v>
      </c>
      <c r="AE7" t="e">
        <f>AND('Data '!F40,"AAAAAF96GR4=")</f>
        <v>#VALUE!</v>
      </c>
      <c r="AF7" t="e">
        <f>AND('Data '!G40,"AAAAAF96GR8=")</f>
        <v>#VALUE!</v>
      </c>
      <c r="AG7" t="e">
        <f>AND('Data '!H40,"AAAAAF96GSA=")</f>
        <v>#VALUE!</v>
      </c>
      <c r="AH7" t="e">
        <f>AND('Data '!I40,"AAAAAF96GSE=")</f>
        <v>#VALUE!</v>
      </c>
      <c r="AI7" t="e">
        <f>AND('Data '!J40,"AAAAAF96GSI=")</f>
        <v>#VALUE!</v>
      </c>
      <c r="AJ7" t="e">
        <f>AND('Data '!K40,"AAAAAF96GSM=")</f>
        <v>#VALUE!</v>
      </c>
      <c r="AK7" t="e">
        <f>AND('Data '!L40,"AAAAAF96GSQ=")</f>
        <v>#VALUE!</v>
      </c>
      <c r="AL7" t="e">
        <f>AND('Data '!M40,"AAAAAF96GSU=")</f>
        <v>#VALUE!</v>
      </c>
      <c r="AM7" t="e">
        <f>AND('Data '!N40,"AAAAAF96GSY=")</f>
        <v>#VALUE!</v>
      </c>
      <c r="AN7" t="e">
        <f>AND('Data '!O40,"AAAAAF96GSc=")</f>
        <v>#VALUE!</v>
      </c>
      <c r="AO7" t="e">
        <f>AND('Data '!P40,"AAAAAF96GSg=")</f>
        <v>#VALUE!</v>
      </c>
      <c r="AP7" t="e">
        <f>AND('Data '!Q40,"AAAAAF96GSk=")</f>
        <v>#VALUE!</v>
      </c>
      <c r="AQ7" t="e">
        <f>AND('Data '!R40,"AAAAAF96GSo=")</f>
        <v>#VALUE!</v>
      </c>
      <c r="AR7" t="e">
        <f>AND('Data '!S40,"AAAAAF96GSs=")</f>
        <v>#VALUE!</v>
      </c>
      <c r="AS7" t="e">
        <f>AND('Data '!T40,"AAAAAF96GSw=")</f>
        <v>#VALUE!</v>
      </c>
      <c r="AT7" t="e">
        <f>AND('Data '!U40,"AAAAAF96GS0=")</f>
        <v>#VALUE!</v>
      </c>
      <c r="AU7" t="e">
        <f>AND('Data '!V40,"AAAAAF96GS4=")</f>
        <v>#VALUE!</v>
      </c>
      <c r="AV7" t="e">
        <f>AND('Data '!W40,"AAAAAF96GS8=")</f>
        <v>#VALUE!</v>
      </c>
      <c r="AW7" t="e">
        <f>AND('Data '!X40,"AAAAAF96GTA=")</f>
        <v>#VALUE!</v>
      </c>
      <c r="AX7" t="e">
        <f>AND('Data '!Y40,"AAAAAF96GTE=")</f>
        <v>#VALUE!</v>
      </c>
      <c r="AY7" t="e">
        <f>AND('Data '!Z40,"AAAAAF96GTI=")</f>
        <v>#VALUE!</v>
      </c>
      <c r="AZ7" t="e">
        <f>AND('Data '!AA40,"AAAAAF96GTM=")</f>
        <v>#VALUE!</v>
      </c>
      <c r="BA7" t="e">
        <f>AND('Data '!AB40,"AAAAAF96GTQ=")</f>
        <v>#VALUE!</v>
      </c>
      <c r="BB7" t="e">
        <f>AND('Data '!AC40,"AAAAAF96GTU=")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'!41:41,"AAAAAF96GUA=",0)</f>
        <v>0</v>
      </c>
      <c r="BN7" t="e">
        <f>AND('Data '!A41,"AAAAAF96GUE=")</f>
        <v>#VALUE!</v>
      </c>
      <c r="BO7" t="e">
        <f>AND('Data '!B41,"AAAAAF96GUI=")</f>
        <v>#VALUE!</v>
      </c>
      <c r="BP7" t="e">
        <f>AND('Data '!C41,"AAAAAF96GUM=")</f>
        <v>#VALUE!</v>
      </c>
      <c r="BQ7" t="e">
        <f>AND('Data '!D41,"AAAAAF96GUQ=")</f>
        <v>#VALUE!</v>
      </c>
      <c r="BR7" t="e">
        <f>AND('Data '!E41,"AAAAAF96GUU=")</f>
        <v>#VALUE!</v>
      </c>
      <c r="BS7" t="e">
        <f>AND('Data '!F41,"AAAAAF96GUY=")</f>
        <v>#VALUE!</v>
      </c>
      <c r="BT7" t="e">
        <f>AND('Data '!G41,"AAAAAF96GUc=")</f>
        <v>#VALUE!</v>
      </c>
      <c r="BU7" t="e">
        <f>AND('Data '!H41,"AAAAAF96GUg=")</f>
        <v>#VALUE!</v>
      </c>
      <c r="BV7" t="e">
        <f>AND('Data '!I41,"AAAAAF96GUk=")</f>
        <v>#VALUE!</v>
      </c>
      <c r="BW7" t="e">
        <f>AND('Data '!J41,"AAAAAF96GUo=")</f>
        <v>#VALUE!</v>
      </c>
      <c r="BX7" t="e">
        <f>AND('Data '!K41,"AAAAAF96GUs=")</f>
        <v>#VALUE!</v>
      </c>
      <c r="BY7" t="e">
        <f>AND('Data '!L41,"AAAAAF96GUw=")</f>
        <v>#VALUE!</v>
      </c>
      <c r="BZ7" t="e">
        <f>AND('Data '!M41,"AAAAAF96GU0=")</f>
        <v>#VALUE!</v>
      </c>
      <c r="CA7" t="e">
        <f>AND('Data '!N41,"AAAAAF96GU4=")</f>
        <v>#VALUE!</v>
      </c>
      <c r="CB7" t="e">
        <f>AND('Data '!O41,"AAAAAF96GU8=")</f>
        <v>#VALUE!</v>
      </c>
      <c r="CC7" t="e">
        <f>AND('Data '!P41,"AAAAAF96GVA=")</f>
        <v>#VALUE!</v>
      </c>
      <c r="CD7" t="e">
        <f>AND('Data '!Q41,"AAAAAF96GVE=")</f>
        <v>#VALUE!</v>
      </c>
      <c r="CE7" t="e">
        <f>AND('Data '!R41,"AAAAAF96GVI=")</f>
        <v>#VALUE!</v>
      </c>
      <c r="CF7" t="e">
        <f>AND('Data '!S41,"AAAAAF96GVM=")</f>
        <v>#VALUE!</v>
      </c>
      <c r="CG7" t="e">
        <f>AND('Data '!T41,"AAAAAF96GVQ=")</f>
        <v>#VALUE!</v>
      </c>
      <c r="CH7" t="e">
        <f>AND('Data '!U41,"AAAAAF96GVU=")</f>
        <v>#VALUE!</v>
      </c>
      <c r="CI7" t="e">
        <f>AND('Data '!V41,"AAAAAF96GVY=")</f>
        <v>#VALUE!</v>
      </c>
      <c r="CJ7" t="e">
        <f>AND('Data '!W41,"AAAAAF96GVc=")</f>
        <v>#VALUE!</v>
      </c>
      <c r="CK7" t="e">
        <f>AND('Data '!X41,"AAAAAF96GVg=")</f>
        <v>#VALUE!</v>
      </c>
      <c r="CL7" t="e">
        <f>AND('Data '!Y41,"AAAAAF96GVk=")</f>
        <v>#VALUE!</v>
      </c>
      <c r="CM7" t="e">
        <f>AND('Data '!Z41,"AAAAAF96GVo=")</f>
        <v>#VALUE!</v>
      </c>
      <c r="CN7" t="e">
        <f>AND('Data '!AA41,"AAAAAF96GVs=")</f>
        <v>#VALUE!</v>
      </c>
      <c r="CO7" t="e">
        <f>AND('Data '!AB41,"AAAAAF96GVw=")</f>
        <v>#VALUE!</v>
      </c>
      <c r="CP7" t="e">
        <f>AND('Data '!AC41,"AAAAAF96GV0=")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'!42:42,"AAAAAF96GWg=",0)</f>
        <v>0</v>
      </c>
      <c r="DB7" t="e">
        <f>AND('Data '!A42,"AAAAAF96GWk=")</f>
        <v>#VALUE!</v>
      </c>
      <c r="DC7" t="e">
        <f>AND('Data '!B42,"AAAAAF96GWo=")</f>
        <v>#VALUE!</v>
      </c>
      <c r="DD7" t="e">
        <f>AND('Data '!C42,"AAAAAF96GWs=")</f>
        <v>#VALUE!</v>
      </c>
      <c r="DE7" t="e">
        <f>AND('Data '!D42,"AAAAAF96GWw=")</f>
        <v>#VALUE!</v>
      </c>
      <c r="DF7" t="e">
        <f>AND('Data '!E42,"AAAAAF96GW0=")</f>
        <v>#VALUE!</v>
      </c>
      <c r="DG7" t="e">
        <f>AND('Data '!F42,"AAAAAF96GW4=")</f>
        <v>#VALUE!</v>
      </c>
      <c r="DH7" t="e">
        <f>AND('Data '!G42,"AAAAAF96GW8=")</f>
        <v>#VALUE!</v>
      </c>
      <c r="DI7" t="e">
        <f>AND('Data '!H42,"AAAAAF96GXA=")</f>
        <v>#VALUE!</v>
      </c>
      <c r="DJ7" t="e">
        <f>AND('Data '!I42,"AAAAAF96GXE=")</f>
        <v>#VALUE!</v>
      </c>
      <c r="DK7" t="e">
        <f>AND('Data '!J42,"AAAAAF96GXI=")</f>
        <v>#VALUE!</v>
      </c>
      <c r="DL7" t="e">
        <f>AND('Data '!K42,"AAAAAF96GXM=")</f>
        <v>#VALUE!</v>
      </c>
      <c r="DM7" t="e">
        <f>AND('Data '!L42,"AAAAAF96GXQ=")</f>
        <v>#VALUE!</v>
      </c>
      <c r="DN7" t="e">
        <f>AND('Data '!M42,"AAAAAF96GXU=")</f>
        <v>#VALUE!</v>
      </c>
      <c r="DO7" t="e">
        <f>AND('Data '!N42,"AAAAAF96GXY=")</f>
        <v>#VALUE!</v>
      </c>
      <c r="DP7" t="e">
        <f>AND('Data '!O42,"AAAAAF96GXc=")</f>
        <v>#VALUE!</v>
      </c>
      <c r="DQ7" t="e">
        <f>AND('Data '!P42,"AAAAAF96GXg=")</f>
        <v>#VALUE!</v>
      </c>
      <c r="DR7" t="e">
        <f>AND('Data '!#REF!,"AAAAAF96GXk=")</f>
        <v>#REF!</v>
      </c>
      <c r="DS7" t="e">
        <f>AND('Data '!Q42,"AAAAAF96GXo=")</f>
        <v>#VALUE!</v>
      </c>
      <c r="DT7" t="e">
        <f>AND('Data '!S42,"AAAAAF96GXs=")</f>
        <v>#VALUE!</v>
      </c>
      <c r="DU7" t="e">
        <f>AND('Data '!T42,"AAAAAF96GXw=")</f>
        <v>#VALUE!</v>
      </c>
      <c r="DV7" t="e">
        <f>AND('Data '!U42,"AAAAAF96GX0=")</f>
        <v>#VALUE!</v>
      </c>
      <c r="DW7" t="e">
        <f>AND('Data '!V42,"AAAAAF96GX4=")</f>
        <v>#VALUE!</v>
      </c>
      <c r="DX7" t="e">
        <f>AND('Data '!W42,"AAAAAF96GX8=")</f>
        <v>#VALUE!</v>
      </c>
      <c r="DY7" t="e">
        <f>AND('Data '!X42,"AAAAAF96GYA=")</f>
        <v>#VALUE!</v>
      </c>
      <c r="DZ7" t="e">
        <f>AND('Data '!Y42,"AAAAAF96GYE=")</f>
        <v>#VALUE!</v>
      </c>
      <c r="EA7" t="e">
        <f>AND('Data '!Z42,"AAAAAF96GYI=")</f>
        <v>#VALUE!</v>
      </c>
      <c r="EB7" t="e">
        <f>AND('Data '!AA42,"AAAAAF96GYM=")</f>
        <v>#VALUE!</v>
      </c>
      <c r="EC7" t="e">
        <f>AND('Data '!AB42,"AAAAAF96GYQ=")</f>
        <v>#VALUE!</v>
      </c>
      <c r="ED7" t="e">
        <f>AND('Data '!AC42,"AAAAAF96GYU=")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'!43:43,"AAAAAF96GZA=",0)</f>
        <v>0</v>
      </c>
      <c r="EP7" t="e">
        <f>AND('Data '!A43,"AAAAAF96GZE=")</f>
        <v>#VALUE!</v>
      </c>
      <c r="EQ7" t="e">
        <f>AND('Data '!B43,"AAAAAF96GZI=")</f>
        <v>#VALUE!</v>
      </c>
      <c r="ER7" t="e">
        <f>AND('Data '!C43,"AAAAAF96GZM=")</f>
        <v>#VALUE!</v>
      </c>
      <c r="ES7" t="e">
        <f>AND('Data '!D43,"AAAAAF96GZQ=")</f>
        <v>#VALUE!</v>
      </c>
      <c r="ET7" t="e">
        <f>AND('Data '!E43,"AAAAAF96GZU=")</f>
        <v>#VALUE!</v>
      </c>
      <c r="EU7" t="e">
        <f>AND('Data '!F43,"AAAAAF96GZY=")</f>
        <v>#VALUE!</v>
      </c>
      <c r="EV7" t="e">
        <f>AND('Data '!G43,"AAAAAF96GZc=")</f>
        <v>#VALUE!</v>
      </c>
      <c r="EW7" t="e">
        <f>AND('Data '!H43,"AAAAAF96GZg=")</f>
        <v>#VALUE!</v>
      </c>
      <c r="EX7" t="e">
        <f>AND('Data '!I43,"AAAAAF96GZk=")</f>
        <v>#VALUE!</v>
      </c>
      <c r="EY7" t="e">
        <f>AND('Data '!J43,"AAAAAF96GZo=")</f>
        <v>#VALUE!</v>
      </c>
      <c r="EZ7" t="e">
        <f>AND('Data '!K43,"AAAAAF96GZs=")</f>
        <v>#VALUE!</v>
      </c>
      <c r="FA7" t="e">
        <f>AND('Data '!L43,"AAAAAF96GZw=")</f>
        <v>#VALUE!</v>
      </c>
      <c r="FB7" t="e">
        <f>AND('Data '!M43,"AAAAAF96GZ0=")</f>
        <v>#VALUE!</v>
      </c>
      <c r="FC7" t="e">
        <f>AND('Data '!N43,"AAAAAF96GZ4=")</f>
        <v>#VALUE!</v>
      </c>
      <c r="FD7" t="e">
        <f>AND('Data '!O43,"AAAAAF96GZ8=")</f>
        <v>#VALUE!</v>
      </c>
      <c r="FE7" t="e">
        <f>AND('Data '!P43,"AAAAAF96GaA=")</f>
        <v>#VALUE!</v>
      </c>
      <c r="FF7" t="e">
        <f>AND('Data '!Q43,"AAAAAF96GaE=")</f>
        <v>#VALUE!</v>
      </c>
      <c r="FG7" t="e">
        <f>AND('Data '!R43,"AAAAAF96GaI=")</f>
        <v>#VALUE!</v>
      </c>
      <c r="FH7" t="e">
        <f>AND('Data '!S43,"AAAAAF96GaM=")</f>
        <v>#VALUE!</v>
      </c>
      <c r="FI7" t="e">
        <f>AND('Data '!T43,"AAAAAF96GaQ=")</f>
        <v>#VALUE!</v>
      </c>
      <c r="FJ7" t="e">
        <f>AND('Data '!U43,"AAAAAF96GaU=")</f>
        <v>#VALUE!</v>
      </c>
      <c r="FK7" t="e">
        <f>AND('Data '!V43,"AAAAAF96GaY=")</f>
        <v>#VALUE!</v>
      </c>
      <c r="FL7" t="e">
        <f>AND('Data '!W43,"AAAAAF96Gac=")</f>
        <v>#VALUE!</v>
      </c>
      <c r="FM7" t="e">
        <f>AND('Data '!X43,"AAAAAF96Gag=")</f>
        <v>#VALUE!</v>
      </c>
      <c r="FN7" t="e">
        <f>AND('Data '!Y43,"AAAAAF96Gak=")</f>
        <v>#VALUE!</v>
      </c>
      <c r="FO7" t="e">
        <f>AND('Data '!Z43,"AAAAAF96Gao=")</f>
        <v>#VALUE!</v>
      </c>
      <c r="FP7" t="e">
        <f>AND('Data '!AA43,"AAAAAF96Gas=")</f>
        <v>#VALUE!</v>
      </c>
      <c r="FQ7" t="e">
        <f>AND('Data '!AB43,"AAAAAF96Gaw=")</f>
        <v>#VALUE!</v>
      </c>
      <c r="FR7" t="e">
        <f>AND('Data '!AC43,"AAAAAF96Ga0=")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'!44:44,"AAAAAF96Gbg=",0)</f>
        <v>0</v>
      </c>
      <c r="GD7" t="e">
        <f>AND('Data '!A44,"AAAAAF96Gbk=")</f>
        <v>#VALUE!</v>
      </c>
      <c r="GE7" t="e">
        <f>AND('Data '!B44,"AAAAAF96Gbo=")</f>
        <v>#VALUE!</v>
      </c>
      <c r="GF7" t="e">
        <f>AND('Data '!C44,"AAAAAF96Gbs=")</f>
        <v>#VALUE!</v>
      </c>
      <c r="GG7" t="e">
        <f>AND('Data '!D44,"AAAAAF96Gbw=")</f>
        <v>#VALUE!</v>
      </c>
      <c r="GH7" t="e">
        <f>AND('Data '!E44,"AAAAAF96Gb0=")</f>
        <v>#VALUE!</v>
      </c>
      <c r="GI7" t="e">
        <f>AND('Data '!F44,"AAAAAF96Gb4=")</f>
        <v>#VALUE!</v>
      </c>
      <c r="GJ7" t="e">
        <f>AND('Data '!G44,"AAAAAF96Gb8=")</f>
        <v>#VALUE!</v>
      </c>
      <c r="GK7" t="e">
        <f>AND('Data '!H44,"AAAAAF96GcA=")</f>
        <v>#VALUE!</v>
      </c>
      <c r="GL7" t="e">
        <f>AND('Data '!I44,"AAAAAF96GcE=")</f>
        <v>#VALUE!</v>
      </c>
      <c r="GM7" t="e">
        <f>AND('Data '!J44,"AAAAAF96GcI=")</f>
        <v>#VALUE!</v>
      </c>
      <c r="GN7" t="e">
        <f>AND('Data '!K44,"AAAAAF96GcM=")</f>
        <v>#VALUE!</v>
      </c>
      <c r="GO7" t="e">
        <f>AND('Data '!L44,"AAAAAF96GcQ=")</f>
        <v>#VALUE!</v>
      </c>
      <c r="GP7" t="e">
        <f>AND('Data '!M44,"AAAAAF96GcU=")</f>
        <v>#VALUE!</v>
      </c>
      <c r="GQ7" t="e">
        <f>AND('Data '!N44,"AAAAAF96GcY=")</f>
        <v>#VALUE!</v>
      </c>
      <c r="GR7" t="e">
        <f>AND('Data '!O44,"AAAAAF96Gcc=")</f>
        <v>#VALUE!</v>
      </c>
      <c r="GS7" t="e">
        <f>AND('Data '!P44,"AAAAAF96Gcg=")</f>
        <v>#VALUE!</v>
      </c>
      <c r="GT7" t="e">
        <f>AND('Data '!Q44,"AAAAAF96Gck=")</f>
        <v>#VALUE!</v>
      </c>
      <c r="GU7" t="e">
        <f>AND('Data '!R44,"AAAAAF96Gco=")</f>
        <v>#VALUE!</v>
      </c>
      <c r="GV7" t="e">
        <f>AND('Data '!S44,"AAAAAF96Gcs=")</f>
        <v>#VALUE!</v>
      </c>
      <c r="GW7" t="e">
        <f>AND('Data '!T44,"AAAAAF96Gcw=")</f>
        <v>#VALUE!</v>
      </c>
      <c r="GX7" t="e">
        <f>AND('Data '!U44,"AAAAAF96Gc0=")</f>
        <v>#VALUE!</v>
      </c>
      <c r="GY7" t="e">
        <f>AND('Data '!V44,"AAAAAF96Gc4=")</f>
        <v>#VALUE!</v>
      </c>
      <c r="GZ7" t="e">
        <f>AND('Data '!W44,"AAAAAF96Gc8=")</f>
        <v>#VALUE!</v>
      </c>
      <c r="HA7" t="e">
        <f>AND('Data '!X44,"AAAAAF96GdA=")</f>
        <v>#VALUE!</v>
      </c>
      <c r="HB7" t="e">
        <f>AND('Data '!Y44,"AAAAAF96GdE=")</f>
        <v>#VALUE!</v>
      </c>
      <c r="HC7" t="e">
        <f>AND('Data '!Z44,"AAAAAF96GdI=")</f>
        <v>#VALUE!</v>
      </c>
      <c r="HD7" t="e">
        <f>AND('Data '!AA44,"AAAAAF96GdM=")</f>
        <v>#VALUE!</v>
      </c>
      <c r="HE7" t="e">
        <f>AND('Data '!AB44,"AAAAAF96GdQ=")</f>
        <v>#VALUE!</v>
      </c>
      <c r="HF7" t="e">
        <f>AND('Data '!AC44,"AAAAAF96GdU=")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'!45:45,"AAAAAF96GeA=",0)</f>
        <v>0</v>
      </c>
      <c r="HR7" t="e">
        <f>AND('Data '!A45,"AAAAAF96GeE=")</f>
        <v>#VALUE!</v>
      </c>
      <c r="HS7" t="e">
        <f>AND('Data '!B45,"AAAAAF96GeI=")</f>
        <v>#VALUE!</v>
      </c>
      <c r="HT7" t="e">
        <f>AND('Data '!C45,"AAAAAF96GeM=")</f>
        <v>#VALUE!</v>
      </c>
      <c r="HU7" t="e">
        <f>AND('Data '!D45,"AAAAAF96GeQ=")</f>
        <v>#VALUE!</v>
      </c>
      <c r="HV7" t="e">
        <f>AND('Data '!E45,"AAAAAF96GeU=")</f>
        <v>#VALUE!</v>
      </c>
      <c r="HW7" t="e">
        <f>AND('Data '!F45,"AAAAAF96GeY=")</f>
        <v>#VALUE!</v>
      </c>
      <c r="HX7" t="e">
        <f>AND('Data '!G45,"AAAAAF96Gec=")</f>
        <v>#VALUE!</v>
      </c>
      <c r="HY7" t="e">
        <f>AND('Data '!H45,"AAAAAF96Geg=")</f>
        <v>#VALUE!</v>
      </c>
      <c r="HZ7" t="e">
        <f>AND('Data '!I45,"AAAAAF96Gek=")</f>
        <v>#VALUE!</v>
      </c>
      <c r="IA7" t="e">
        <f>AND('Data '!J45,"AAAAAF96Geo=")</f>
        <v>#VALUE!</v>
      </c>
      <c r="IB7" t="e">
        <f>AND('Data '!K45,"AAAAAF96Ges=")</f>
        <v>#VALUE!</v>
      </c>
      <c r="IC7" t="e">
        <f>AND('Data '!L45,"AAAAAF96Gew=")</f>
        <v>#VALUE!</v>
      </c>
      <c r="ID7" t="e">
        <f>AND('Data '!M45,"AAAAAF96Ge0=")</f>
        <v>#VALUE!</v>
      </c>
      <c r="IE7" t="e">
        <f>AND('Data '!N45,"AAAAAF96Ge4=")</f>
        <v>#VALUE!</v>
      </c>
      <c r="IF7" t="e">
        <f>AND('Data '!O45,"AAAAAF96Ge8=")</f>
        <v>#VALUE!</v>
      </c>
      <c r="IG7" t="e">
        <f>AND('Data '!P45,"AAAAAF96GfA=")</f>
        <v>#VALUE!</v>
      </c>
      <c r="IH7" t="e">
        <f>AND('Data '!Q45,"AAAAAF96GfE=")</f>
        <v>#VALUE!</v>
      </c>
      <c r="II7" t="e">
        <f>AND('Data '!R45,"AAAAAF96GfI=")</f>
        <v>#VALUE!</v>
      </c>
      <c r="IJ7" t="e">
        <f>AND('Data '!S45,"AAAAAF96GfM=")</f>
        <v>#VALUE!</v>
      </c>
      <c r="IK7" t="e">
        <f>AND('Data '!T45,"AAAAAF96GfQ=")</f>
        <v>#VALUE!</v>
      </c>
      <c r="IL7" t="e">
        <f>AND('Data '!U45,"AAAAAF96GfU=")</f>
        <v>#VALUE!</v>
      </c>
      <c r="IM7" t="e">
        <f>AND('Data '!V45,"AAAAAF96GfY=")</f>
        <v>#VALUE!</v>
      </c>
      <c r="IN7" t="e">
        <f>AND('Data '!W45,"AAAAAF96Gfc=")</f>
        <v>#VALUE!</v>
      </c>
      <c r="IO7" t="e">
        <f>AND('Data '!X45,"AAAAAF96Gfg=")</f>
        <v>#VALUE!</v>
      </c>
      <c r="IP7" t="e">
        <f>AND('Data '!Y45,"AAAAAF96Gfk=")</f>
        <v>#VALUE!</v>
      </c>
      <c r="IQ7" t="e">
        <f>AND('Data '!Z45,"AAAAAF96Gfo=")</f>
        <v>#VALUE!</v>
      </c>
      <c r="IR7" t="e">
        <f>AND('Data '!AA45,"AAAAAF96Gfs=")</f>
        <v>#VALUE!</v>
      </c>
      <c r="IS7" t="e">
        <f>AND('Data '!AB45,"AAAAAF96Gfw=")</f>
        <v>#VALUE!</v>
      </c>
      <c r="IT7" t="e">
        <f>AND('Data '!AC45,"AAAAAF96Gf0=")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ht="12.75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'!46:46,"AAAAADmfpwg=",0)</f>
        <v>AAAAADmfpwg=</v>
      </c>
      <c r="J8" t="e">
        <f>AND('Data '!A46,"AAAAADmfpwk=")</f>
        <v>#VALUE!</v>
      </c>
      <c r="K8" t="e">
        <f>AND('Data '!B46,"AAAAADmfpwo=")</f>
        <v>#VALUE!</v>
      </c>
      <c r="L8" t="e">
        <f>AND('Data '!C46,"AAAAADmfpws=")</f>
        <v>#VALUE!</v>
      </c>
      <c r="M8" t="e">
        <f>AND('Data '!D46,"AAAAADmfpww=")</f>
        <v>#VALUE!</v>
      </c>
      <c r="N8" t="e">
        <f>AND('Data '!E46,"AAAAADmfpw0=")</f>
        <v>#VALUE!</v>
      </c>
      <c r="O8" t="e">
        <f>AND('Data '!F46,"AAAAADmfpw4=")</f>
        <v>#VALUE!</v>
      </c>
      <c r="P8" t="e">
        <f>AND('Data '!G46,"AAAAADmfpw8=")</f>
        <v>#VALUE!</v>
      </c>
      <c r="Q8" t="e">
        <f>AND('Data '!H46,"AAAAADmfpxA=")</f>
        <v>#VALUE!</v>
      </c>
      <c r="R8" t="e">
        <f>AND('Data '!I46,"AAAAADmfpxE=")</f>
        <v>#VALUE!</v>
      </c>
      <c r="S8" t="e">
        <f>AND('Data '!J46,"AAAAADmfpxI=")</f>
        <v>#VALUE!</v>
      </c>
      <c r="T8" t="e">
        <f>AND('Data '!K46,"AAAAADmfpxM=")</f>
        <v>#VALUE!</v>
      </c>
      <c r="U8" t="e">
        <f>AND('Data '!L46,"AAAAADmfpxQ=")</f>
        <v>#VALUE!</v>
      </c>
      <c r="V8" t="e">
        <f>AND('Data '!M46,"AAAAADmfpxU=")</f>
        <v>#VALUE!</v>
      </c>
      <c r="W8" t="e">
        <f>AND('Data '!N46,"AAAAADmfpxY=")</f>
        <v>#VALUE!</v>
      </c>
      <c r="X8" t="e">
        <f>AND('Data '!O46,"AAAAADmfpxc=")</f>
        <v>#VALUE!</v>
      </c>
      <c r="Y8" t="e">
        <f>AND('Data '!P46,"AAAAADmfpxg=")</f>
        <v>#VALUE!</v>
      </c>
      <c r="Z8" t="e">
        <f>AND('Data '!Q46,"AAAAADmfpxk=")</f>
        <v>#VALUE!</v>
      </c>
      <c r="AA8" t="e">
        <f>AND('Data '!R46,"AAAAADmfpxo=")</f>
        <v>#VALUE!</v>
      </c>
      <c r="AB8" t="e">
        <f>AND('Data '!S46,"AAAAADmfpxs=")</f>
        <v>#VALUE!</v>
      </c>
      <c r="AC8" t="e">
        <f>AND('Data '!T46,"AAAAADmfpxw=")</f>
        <v>#VALUE!</v>
      </c>
      <c r="AD8" t="e">
        <f>AND('Data '!U46,"AAAAADmfpx0=")</f>
        <v>#VALUE!</v>
      </c>
      <c r="AE8" t="e">
        <f>AND('Data '!V46,"AAAAADmfpx4=")</f>
        <v>#VALUE!</v>
      </c>
      <c r="AF8" t="e">
        <f>AND('Data '!W46,"AAAAADmfpx8=")</f>
        <v>#VALUE!</v>
      </c>
      <c r="AG8" t="e">
        <f>AND('Data '!X46,"AAAAADmfpyA=")</f>
        <v>#VALUE!</v>
      </c>
      <c r="AH8" t="e">
        <f>AND('Data '!Y46,"AAAAADmfpyE=")</f>
        <v>#VALUE!</v>
      </c>
      <c r="AI8" t="e">
        <f>AND('Data '!Z46,"AAAAADmfpyI=")</f>
        <v>#VALUE!</v>
      </c>
      <c r="AJ8" t="e">
        <f>AND('Data '!AA46,"AAAAADmfpyM=")</f>
        <v>#VALUE!</v>
      </c>
      <c r="AK8" t="e">
        <f>AND('Data '!AB46,"AAAAADmfpyQ=")</f>
        <v>#VALUE!</v>
      </c>
      <c r="AL8" t="e">
        <f>AND('Data '!AC46,"AAAAADmfpyU=")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'!47:47,"AAAAADmfpzA=",0)</f>
        <v>0</v>
      </c>
      <c r="AX8" t="e">
        <f>AND('Data '!A47,"AAAAADmfpzE=")</f>
        <v>#VALUE!</v>
      </c>
      <c r="AY8" t="e">
        <f>AND('Data '!B47,"AAAAADmfpzI=")</f>
        <v>#VALUE!</v>
      </c>
      <c r="AZ8" t="e">
        <f>AND('Data '!C47,"AAAAADmfpzM=")</f>
        <v>#VALUE!</v>
      </c>
      <c r="BA8" t="e">
        <f>AND('Data '!D47,"AAAAADmfpzQ=")</f>
        <v>#VALUE!</v>
      </c>
      <c r="BB8" t="e">
        <f>AND('Data '!E47,"AAAAADmfpzU=")</f>
        <v>#VALUE!</v>
      </c>
      <c r="BC8" t="e">
        <f>AND('Data '!F47,"AAAAADmfpzY=")</f>
        <v>#VALUE!</v>
      </c>
      <c r="BD8" t="e">
        <f>AND('Data '!G47,"AAAAADmfpzc=")</f>
        <v>#VALUE!</v>
      </c>
      <c r="BE8" t="e">
        <f>AND('Data '!H47,"AAAAADmfpzg=")</f>
        <v>#VALUE!</v>
      </c>
      <c r="BF8" t="e">
        <f>AND('Data '!I47,"AAAAADmfpzk=")</f>
        <v>#VALUE!</v>
      </c>
      <c r="BG8" t="e">
        <f>AND('Data '!J47,"AAAAADmfpzo=")</f>
        <v>#VALUE!</v>
      </c>
      <c r="BH8" t="e">
        <f>AND('Data '!K47,"AAAAADmfpzs=")</f>
        <v>#VALUE!</v>
      </c>
      <c r="BI8" t="e">
        <f>AND('Data '!L47,"AAAAADmfpzw=")</f>
        <v>#VALUE!</v>
      </c>
      <c r="BJ8" t="e">
        <f>AND('Data '!M47,"AAAAADmfpz0=")</f>
        <v>#VALUE!</v>
      </c>
      <c r="BK8" t="e">
        <f>AND('Data '!N47,"AAAAADmfpz4=")</f>
        <v>#VALUE!</v>
      </c>
      <c r="BL8" t="e">
        <f>AND('Data '!O47,"AAAAADmfpz8=")</f>
        <v>#VALUE!</v>
      </c>
      <c r="BM8" t="e">
        <f>AND('Data '!P47,"AAAAADmfp0A=")</f>
        <v>#VALUE!</v>
      </c>
      <c r="BN8" t="e">
        <f>AND('Data '!Q47,"AAAAADmfp0E=")</f>
        <v>#VALUE!</v>
      </c>
      <c r="BO8" t="e">
        <f>AND('Data '!R47,"AAAAADmfp0I=")</f>
        <v>#VALUE!</v>
      </c>
      <c r="BP8" t="e">
        <f>AND('Data '!S47,"AAAAADmfp0M=")</f>
        <v>#VALUE!</v>
      </c>
      <c r="BQ8" t="e">
        <f>AND('Data '!T47,"AAAAADmfp0Q=")</f>
        <v>#VALUE!</v>
      </c>
      <c r="BR8" t="e">
        <f>AND('Data '!U47,"AAAAADmfp0U=")</f>
        <v>#VALUE!</v>
      </c>
      <c r="BS8" t="e">
        <f>AND('Data '!V47,"AAAAADmfp0Y=")</f>
        <v>#VALUE!</v>
      </c>
      <c r="BT8" t="e">
        <f>AND('Data '!W47,"AAAAADmfp0c=")</f>
        <v>#VALUE!</v>
      </c>
      <c r="BU8" t="e">
        <f>AND('Data '!X47,"AAAAADmfp0g=")</f>
        <v>#VALUE!</v>
      </c>
      <c r="BV8" t="e">
        <f>AND('Data '!Y47,"AAAAADmfp0k=")</f>
        <v>#VALUE!</v>
      </c>
      <c r="BW8" t="e">
        <f>AND('Data '!Z47,"AAAAADmfp0o=")</f>
        <v>#VALUE!</v>
      </c>
      <c r="BX8" t="e">
        <f>AND('Data '!AA47,"AAAAADmfp0s=")</f>
        <v>#VALUE!</v>
      </c>
      <c r="BY8" t="e">
        <f>AND('Data '!AB47,"AAAAADmfp0w=")</f>
        <v>#VALUE!</v>
      </c>
      <c r="BZ8" t="e">
        <f>AND('Data '!AC47,"AAAAADmfp00=")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'!48:48,"AAAAADmfp1g=",0)</f>
        <v>0</v>
      </c>
      <c r="CL8" t="e">
        <f>AND('Data '!A48,"AAAAADmfp1k=")</f>
        <v>#VALUE!</v>
      </c>
      <c r="CM8" t="e">
        <f>AND('Data '!B48,"AAAAADmfp1o=")</f>
        <v>#VALUE!</v>
      </c>
      <c r="CN8" t="e">
        <f>AND('Data '!C48,"AAAAADmfp1s=")</f>
        <v>#VALUE!</v>
      </c>
      <c r="CO8" t="e">
        <f>AND('Data '!D48,"AAAAADmfp1w=")</f>
        <v>#VALUE!</v>
      </c>
      <c r="CP8" t="e">
        <f>AND('Data '!E48,"AAAAADmfp10=")</f>
        <v>#VALUE!</v>
      </c>
      <c r="CQ8" t="e">
        <f>AND('Data '!F48,"AAAAADmfp14=")</f>
        <v>#VALUE!</v>
      </c>
      <c r="CR8" t="e">
        <f>AND('Data '!G48,"AAAAADmfp18=")</f>
        <v>#VALUE!</v>
      </c>
      <c r="CS8" t="e">
        <f>AND('Data '!H48,"AAAAADmfp2A=")</f>
        <v>#VALUE!</v>
      </c>
      <c r="CT8" t="e">
        <f>AND('Data '!I48,"AAAAADmfp2E=")</f>
        <v>#VALUE!</v>
      </c>
      <c r="CU8" t="e">
        <f>AND('Data '!J48,"AAAAADmfp2I=")</f>
        <v>#VALUE!</v>
      </c>
      <c r="CV8" t="e">
        <f>AND('Data '!K48,"AAAAADmfp2M=")</f>
        <v>#VALUE!</v>
      </c>
      <c r="CW8" t="e">
        <f>AND('Data '!L48,"AAAAADmfp2Q=")</f>
        <v>#VALUE!</v>
      </c>
      <c r="CX8" t="e">
        <f>AND('Data '!M48,"AAAAADmfp2U=")</f>
        <v>#VALUE!</v>
      </c>
      <c r="CY8" t="e">
        <f>AND('Data '!N48,"AAAAADmfp2Y=")</f>
        <v>#VALUE!</v>
      </c>
      <c r="CZ8" t="e">
        <f>AND('Data '!O48,"AAAAADmfp2c=")</f>
        <v>#VALUE!</v>
      </c>
      <c r="DA8" t="e">
        <f>AND('Data '!P48,"AAAAADmfp2g=")</f>
        <v>#VALUE!</v>
      </c>
      <c r="DB8" t="e">
        <f>AND('Data '!Q48,"AAAAADmfp2k=")</f>
        <v>#VALUE!</v>
      </c>
      <c r="DC8" t="e">
        <f>AND('Data '!R48,"AAAAADmfp2o=")</f>
        <v>#VALUE!</v>
      </c>
      <c r="DD8" t="e">
        <f>AND('Data '!S48,"AAAAADmfp2s=")</f>
        <v>#VALUE!</v>
      </c>
      <c r="DE8" t="e">
        <f>AND('Data '!T48,"AAAAADmfp2w=")</f>
        <v>#VALUE!</v>
      </c>
      <c r="DF8" t="e">
        <f>AND('Data '!U48,"AAAAADmfp20=")</f>
        <v>#VALUE!</v>
      </c>
      <c r="DG8" t="e">
        <f>AND('Data '!V48,"AAAAADmfp24=")</f>
        <v>#VALUE!</v>
      </c>
      <c r="DH8" t="e">
        <f>AND('Data '!W48,"AAAAADmfp28=")</f>
        <v>#VALUE!</v>
      </c>
      <c r="DI8" t="e">
        <f>AND('Data '!X48,"AAAAADmfp3A=")</f>
        <v>#VALUE!</v>
      </c>
      <c r="DJ8" t="e">
        <f>AND('Data '!Y48,"AAAAADmfp3E=")</f>
        <v>#VALUE!</v>
      </c>
      <c r="DK8" t="e">
        <f>AND('Data '!Z48,"AAAAADmfp3I=")</f>
        <v>#VALUE!</v>
      </c>
      <c r="DL8" t="e">
        <f>AND('Data '!AA48,"AAAAADmfp3M=")</f>
        <v>#VALUE!</v>
      </c>
      <c r="DM8" t="e">
        <f>AND('Data '!AB48,"AAAAADmfp3Q=")</f>
        <v>#VALUE!</v>
      </c>
      <c r="DN8" t="e">
        <f>AND('Data '!AC48,"AAAAADmfp3U=")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'!49:49,"AAAAADmfp4A=",0)</f>
        <v>0</v>
      </c>
      <c r="DZ8" t="e">
        <f>AND('Data '!A49,"AAAAADmfp4E=")</f>
        <v>#VALUE!</v>
      </c>
      <c r="EA8" t="e">
        <f>AND('Data '!B49,"AAAAADmfp4I=")</f>
        <v>#VALUE!</v>
      </c>
      <c r="EB8" t="e">
        <f>AND('Data '!C49,"AAAAADmfp4M=")</f>
        <v>#VALUE!</v>
      </c>
      <c r="EC8" t="e">
        <f>AND('Data '!D49,"AAAAADmfp4Q=")</f>
        <v>#VALUE!</v>
      </c>
      <c r="ED8" t="e">
        <f>AND('Data '!E49,"AAAAADmfp4U=")</f>
        <v>#VALUE!</v>
      </c>
      <c r="EE8" t="e">
        <f>AND('Data '!F49,"AAAAADmfp4Y=")</f>
        <v>#VALUE!</v>
      </c>
      <c r="EF8" t="e">
        <f>AND('Data '!G49,"AAAAADmfp4c=")</f>
        <v>#VALUE!</v>
      </c>
      <c r="EG8" t="e">
        <f>AND('Data '!H49,"AAAAADmfp4g=")</f>
        <v>#VALUE!</v>
      </c>
      <c r="EH8" t="e">
        <f>AND('Data '!I49,"AAAAADmfp4k=")</f>
        <v>#VALUE!</v>
      </c>
      <c r="EI8" t="e">
        <f>AND('Data '!J49,"AAAAADmfp4o=")</f>
        <v>#VALUE!</v>
      </c>
      <c r="EJ8" t="e">
        <f>AND('Data '!K49,"AAAAADmfp4s=")</f>
        <v>#VALUE!</v>
      </c>
      <c r="EK8" t="e">
        <f>AND('Data '!L49,"AAAAADmfp4w=")</f>
        <v>#VALUE!</v>
      </c>
      <c r="EL8" t="e">
        <f>AND('Data '!M49,"AAAAADmfp40=")</f>
        <v>#VALUE!</v>
      </c>
      <c r="EM8" t="e">
        <f>AND('Data '!N49,"AAAAADmfp44=")</f>
        <v>#VALUE!</v>
      </c>
      <c r="EN8" t="e">
        <f>AND('Data '!O49,"AAAAADmfp48=")</f>
        <v>#VALUE!</v>
      </c>
      <c r="EO8" t="e">
        <f>AND('Data '!P49,"AAAAADmfp5A=")</f>
        <v>#VALUE!</v>
      </c>
      <c r="EP8" t="e">
        <f>AND('Data '!Q49,"AAAAADmfp5E=")</f>
        <v>#VALUE!</v>
      </c>
      <c r="EQ8" t="e">
        <f>AND('Data '!R49,"AAAAADmfp5I=")</f>
        <v>#VALUE!</v>
      </c>
      <c r="ER8" t="e">
        <f>AND('Data '!S49,"AAAAADmfp5M=")</f>
        <v>#VALUE!</v>
      </c>
      <c r="ES8" t="e">
        <f>AND('Data '!T49,"AAAAADmfp5Q=")</f>
        <v>#VALUE!</v>
      </c>
      <c r="ET8" t="e">
        <f>AND('Data '!U49,"AAAAADmfp5U=")</f>
        <v>#VALUE!</v>
      </c>
      <c r="EU8" t="e">
        <f>AND('Data '!V49,"AAAAADmfp5Y=")</f>
        <v>#VALUE!</v>
      </c>
      <c r="EV8" t="e">
        <f>AND('Data '!W49,"AAAAADmfp5c=")</f>
        <v>#VALUE!</v>
      </c>
      <c r="EW8" t="e">
        <f>AND('Data '!X49,"AAAAADmfp5g=")</f>
        <v>#VALUE!</v>
      </c>
      <c r="EX8" t="e">
        <f>AND('Data '!Y49,"AAAAADmfp5k=")</f>
        <v>#VALUE!</v>
      </c>
      <c r="EY8" t="e">
        <f>AND('Data '!Z49,"AAAAADmfp5o=")</f>
        <v>#VALUE!</v>
      </c>
      <c r="EZ8" t="e">
        <f>AND('Data '!AA49,"AAAAADmfp5s=")</f>
        <v>#VALUE!</v>
      </c>
      <c r="FA8" t="e">
        <f>AND('Data '!AB49,"AAAAADmfp5w=")</f>
        <v>#VALUE!</v>
      </c>
      <c r="FB8" t="e">
        <f>AND('Data '!AC49,"AAAAADmfp50=")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'!50:50,"AAAAADmfp6g=",0)</f>
        <v>0</v>
      </c>
      <c r="FN8" t="e">
        <f>AND('Data '!A50,"AAAAADmfp6k=")</f>
        <v>#VALUE!</v>
      </c>
      <c r="FO8" t="e">
        <f>AND('Data '!B50,"AAAAADmfp6o=")</f>
        <v>#VALUE!</v>
      </c>
      <c r="FP8" t="e">
        <f>AND('Data '!C50,"AAAAADmfp6s=")</f>
        <v>#VALUE!</v>
      </c>
      <c r="FQ8" t="e">
        <f>AND('Data '!D50,"AAAAADmfp6w=")</f>
        <v>#VALUE!</v>
      </c>
      <c r="FR8" t="e">
        <f>AND('Data '!E50,"AAAAADmfp60=")</f>
        <v>#VALUE!</v>
      </c>
      <c r="FS8" t="e">
        <f>AND('Data '!F50,"AAAAADmfp64=")</f>
        <v>#VALUE!</v>
      </c>
      <c r="FT8" t="e">
        <f>AND('Data '!G50,"AAAAADmfp68=")</f>
        <v>#VALUE!</v>
      </c>
      <c r="FU8" t="e">
        <f>AND('Data '!H50,"AAAAADmfp7A=")</f>
        <v>#VALUE!</v>
      </c>
      <c r="FV8" t="e">
        <f>AND('Data '!I50,"AAAAADmfp7E=")</f>
        <v>#VALUE!</v>
      </c>
      <c r="FW8" t="e">
        <f>AND('Data '!J50,"AAAAADmfp7I=")</f>
        <v>#VALUE!</v>
      </c>
      <c r="FX8" t="e">
        <f>AND('Data '!K50,"AAAAADmfp7M=")</f>
        <v>#VALUE!</v>
      </c>
      <c r="FY8" t="e">
        <f>AND('Data '!L50,"AAAAADmfp7Q=")</f>
        <v>#VALUE!</v>
      </c>
      <c r="FZ8" t="e">
        <f>AND('Data '!M50,"AAAAADmfp7U=")</f>
        <v>#VALUE!</v>
      </c>
      <c r="GA8" t="e">
        <f>AND('Data '!N50,"AAAAADmfp7Y=")</f>
        <v>#VALUE!</v>
      </c>
      <c r="GB8" t="e">
        <f>AND('Data '!O50,"AAAAADmfp7c=")</f>
        <v>#VALUE!</v>
      </c>
      <c r="GC8" t="e">
        <f>AND('Data '!P50,"AAAAADmfp7g=")</f>
        <v>#VALUE!</v>
      </c>
      <c r="GD8" t="e">
        <f>AND('Data '!Q50,"AAAAADmfp7k=")</f>
        <v>#VALUE!</v>
      </c>
      <c r="GE8" t="e">
        <f>AND('Data '!R50,"AAAAADmfp7o=")</f>
        <v>#VALUE!</v>
      </c>
      <c r="GF8" t="e">
        <f>AND('Data '!S50,"AAAAADmfp7s=")</f>
        <v>#VALUE!</v>
      </c>
      <c r="GG8" t="e">
        <f>AND('Data '!T50,"AAAAADmfp7w=")</f>
        <v>#VALUE!</v>
      </c>
      <c r="GH8" t="e">
        <f>AND('Data '!U50,"AAAAADmfp70=")</f>
        <v>#VALUE!</v>
      </c>
      <c r="GI8" t="e">
        <f>AND('Data '!V50,"AAAAADmfp74=")</f>
        <v>#VALUE!</v>
      </c>
      <c r="GJ8" t="e">
        <f>AND('Data '!W50,"AAAAADmfp78=")</f>
        <v>#VALUE!</v>
      </c>
      <c r="GK8" t="e">
        <f>AND('Data '!X50,"AAAAADmfp8A=")</f>
        <v>#VALUE!</v>
      </c>
      <c r="GL8" t="e">
        <f>AND('Data '!Y50,"AAAAADmfp8E=")</f>
        <v>#VALUE!</v>
      </c>
      <c r="GM8" t="e">
        <f>AND('Data '!Z50,"AAAAADmfp8I=")</f>
        <v>#VALUE!</v>
      </c>
      <c r="GN8" t="e">
        <f>AND('Data '!AA50,"AAAAADmfp8M=")</f>
        <v>#VALUE!</v>
      </c>
      <c r="GO8" t="e">
        <f>AND('Data '!AB50,"AAAAADmfp8Q=")</f>
        <v>#VALUE!</v>
      </c>
      <c r="GP8" t="e">
        <f>AND('Data '!AC50,"AAAAADmfp8U=")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'!51:51,"AAAAADmfp9A=",0)</f>
        <v>0</v>
      </c>
      <c r="HB8" t="e">
        <f>AND('Data '!A51,"AAAAADmfp9E=")</f>
        <v>#VALUE!</v>
      </c>
      <c r="HC8" t="e">
        <f>AND('Data '!B51,"AAAAADmfp9I=")</f>
        <v>#VALUE!</v>
      </c>
      <c r="HD8" t="e">
        <f>AND('Data '!C51,"AAAAADmfp9M=")</f>
        <v>#VALUE!</v>
      </c>
      <c r="HE8" t="e">
        <f>AND('Data '!D51,"AAAAADmfp9Q=")</f>
        <v>#VALUE!</v>
      </c>
      <c r="HF8" t="e">
        <f>AND('Data '!E51,"AAAAADmfp9U=")</f>
        <v>#VALUE!</v>
      </c>
      <c r="HG8" t="e">
        <f>AND('Data '!F51,"AAAAADmfp9Y=")</f>
        <v>#VALUE!</v>
      </c>
      <c r="HH8" t="e">
        <f>AND('Data '!G51,"AAAAADmfp9c=")</f>
        <v>#VALUE!</v>
      </c>
      <c r="HI8" t="e">
        <f>AND('Data '!H51,"AAAAADmfp9g=")</f>
        <v>#VALUE!</v>
      </c>
      <c r="HJ8" t="e">
        <f>AND('Data '!I51,"AAAAADmfp9k=")</f>
        <v>#VALUE!</v>
      </c>
      <c r="HK8" t="e">
        <f>AND('Data '!J51,"AAAAADmfp9o=")</f>
        <v>#VALUE!</v>
      </c>
      <c r="HL8" t="e">
        <f>AND('Data '!K51,"AAAAADmfp9s=")</f>
        <v>#VALUE!</v>
      </c>
      <c r="HM8" t="e">
        <f>AND('Data '!L51,"AAAAADmfp9w=")</f>
        <v>#VALUE!</v>
      </c>
      <c r="HN8" t="e">
        <f>AND('Data '!M51,"AAAAADmfp90=")</f>
        <v>#VALUE!</v>
      </c>
      <c r="HO8" t="e">
        <f>AND('Data '!N51,"AAAAADmfp94=")</f>
        <v>#VALUE!</v>
      </c>
      <c r="HP8" t="e">
        <f>AND('Data '!O51,"AAAAADmfp98=")</f>
        <v>#VALUE!</v>
      </c>
      <c r="HQ8" t="e">
        <f>AND('Data '!P51,"AAAAADmfp+A=")</f>
        <v>#VALUE!</v>
      </c>
      <c r="HR8" t="e">
        <f>AND('Data '!Q51,"AAAAADmfp+E=")</f>
        <v>#VALUE!</v>
      </c>
      <c r="HS8" t="e">
        <f>AND('Data '!R51,"AAAAADmfp+I=")</f>
        <v>#VALUE!</v>
      </c>
      <c r="HT8" t="e">
        <f>AND('Data '!S51,"AAAAADmfp+M=")</f>
        <v>#VALUE!</v>
      </c>
      <c r="HU8" t="e">
        <f>AND('Data '!T51,"AAAAADmfp+Q=")</f>
        <v>#VALUE!</v>
      </c>
      <c r="HV8" t="e">
        <f>AND('Data '!U51,"AAAAADmfp+U=")</f>
        <v>#VALUE!</v>
      </c>
      <c r="HW8" t="e">
        <f>AND('Data '!V51,"AAAAADmfp+Y=")</f>
        <v>#VALUE!</v>
      </c>
      <c r="HX8" t="e">
        <f>AND('Data '!W51,"AAAAADmfp+c=")</f>
        <v>#VALUE!</v>
      </c>
      <c r="HY8" t="e">
        <f>AND('Data '!X51,"AAAAADmfp+g=")</f>
        <v>#VALUE!</v>
      </c>
      <c r="HZ8" t="e">
        <f>AND('Data '!Y51,"AAAAADmfp+k=")</f>
        <v>#VALUE!</v>
      </c>
      <c r="IA8" t="e">
        <f>AND('Data '!Z51,"AAAAADmfp+o=")</f>
        <v>#VALUE!</v>
      </c>
      <c r="IB8" t="e">
        <f>AND('Data '!AA51,"AAAAADmfp+s=")</f>
        <v>#VALUE!</v>
      </c>
      <c r="IC8" t="e">
        <f>AND('Data '!AB51,"AAAAADmfp+w=")</f>
        <v>#VALUE!</v>
      </c>
      <c r="ID8" t="e">
        <f>AND('Data '!AC51,"AAAAADmfp+0=")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'!52:52,"AAAAADmfp/g=",0)</f>
        <v>0</v>
      </c>
      <c r="IP8" t="e">
        <f>AND('Data '!A52,"AAAAADmfp/k=")</f>
        <v>#VALUE!</v>
      </c>
      <c r="IQ8" t="e">
        <f>AND('Data '!B52,"AAAAADmfp/o=")</f>
        <v>#VALUE!</v>
      </c>
      <c r="IR8" t="e">
        <f>AND('Data '!C52,"AAAAADmfp/s=")</f>
        <v>#VALUE!</v>
      </c>
      <c r="IS8" t="e">
        <f>AND('Data '!D52,"AAAAADmfp/w=")</f>
        <v>#VALUE!</v>
      </c>
      <c r="IT8" t="e">
        <f>AND('Data '!E52,"AAAAADmfp/0=")</f>
        <v>#VALUE!</v>
      </c>
      <c r="IU8" t="e">
        <f>AND('Data '!F52,"AAAAADmfp/4=")</f>
        <v>#VALUE!</v>
      </c>
      <c r="IV8" t="e">
        <f>AND('Data '!G52,"AAAAADmfp/8=")</f>
        <v>#VALUE!</v>
      </c>
    </row>
    <row r="9" spans="1:256" ht="12.75">
      <c r="A9" t="e">
        <f>AND('Data '!H52,"AAAAAF/z/gA=")</f>
        <v>#VALUE!</v>
      </c>
      <c r="B9" t="e">
        <f>AND('Data '!I52,"AAAAAF/z/gE=")</f>
        <v>#VALUE!</v>
      </c>
      <c r="C9">
        <f>IF('Data '!53:53,"AAAAAF/z/gI=",0)</f>
        <v>0</v>
      </c>
      <c r="D9" t="e">
        <f>AND('Data '!A53,"AAAAAF/z/gM=")</f>
        <v>#VALUE!</v>
      </c>
      <c r="E9" t="e">
        <f>AND('Data '!B53,"AAAAAF/z/gQ=")</f>
        <v>#VALUE!</v>
      </c>
      <c r="F9" t="e">
        <f>AND('Data '!C53,"AAAAAF/z/gU=")</f>
        <v>#VALUE!</v>
      </c>
      <c r="G9" t="e">
        <f>AND('Data '!D53,"AAAAAF/z/gY=")</f>
        <v>#VALUE!</v>
      </c>
      <c r="H9" t="e">
        <f>AND('Data '!E53,"AAAAAF/z/gc=")</f>
        <v>#VALUE!</v>
      </c>
      <c r="I9" t="e">
        <f>AND('Data '!F53,"AAAAAF/z/gg=")</f>
        <v>#VALUE!</v>
      </c>
      <c r="J9" t="e">
        <f>AND('Data '!G53,"AAAAAF/z/gk=")</f>
        <v>#VALUE!</v>
      </c>
      <c r="K9" t="e">
        <f>AND('Data '!H53,"AAAAAF/z/go=")</f>
        <v>#VALUE!</v>
      </c>
      <c r="L9" t="e">
        <f>AND('Data '!I53,"AAAAAF/z/gs=")</f>
        <v>#VALUE!</v>
      </c>
      <c r="M9">
        <f>IF('Data '!54:54,"AAAAAF/z/gw=",0)</f>
        <v>0</v>
      </c>
      <c r="N9" t="e">
        <f>AND('Data '!A54,"AAAAAF/z/g0=")</f>
        <v>#VALUE!</v>
      </c>
      <c r="O9" t="e">
        <f>AND('Data '!B54,"AAAAAF/z/g4=")</f>
        <v>#VALUE!</v>
      </c>
      <c r="P9" t="e">
        <f>AND('Data '!C54,"AAAAAF/z/g8=")</f>
        <v>#VALUE!</v>
      </c>
      <c r="Q9" t="e">
        <f>AND('Data '!D54,"AAAAAF/z/hA=")</f>
        <v>#VALUE!</v>
      </c>
      <c r="R9" t="e">
        <f>AND('Data '!E54,"AAAAAF/z/hE=")</f>
        <v>#VALUE!</v>
      </c>
      <c r="S9" t="e">
        <f>AND('Data '!F54,"AAAAAF/z/hI=")</f>
        <v>#VALUE!</v>
      </c>
      <c r="T9" t="e">
        <f>AND('Data '!G54,"AAAAAF/z/hM=")</f>
        <v>#VALUE!</v>
      </c>
      <c r="U9" t="e">
        <f>AND('Data '!H54,"AAAAAF/z/hQ=")</f>
        <v>#VALUE!</v>
      </c>
      <c r="V9" t="e">
        <f>AND('Data '!I54,"AAAAAF/z/hU=")</f>
        <v>#VALUE!</v>
      </c>
      <c r="W9">
        <f>IF('Data '!55:55,"AAAAAF/z/hY=",0)</f>
        <v>0</v>
      </c>
      <c r="X9" t="e">
        <f>AND('Data '!A55,"AAAAAF/z/hc=")</f>
        <v>#VALUE!</v>
      </c>
      <c r="Y9" t="e">
        <f>AND('Data '!B55,"AAAAAF/z/hg=")</f>
        <v>#VALUE!</v>
      </c>
      <c r="Z9" t="e">
        <f>AND('Data '!C55,"AAAAAF/z/hk=")</f>
        <v>#VALUE!</v>
      </c>
      <c r="AA9" t="e">
        <f>AND('Data '!D55,"AAAAAF/z/ho=")</f>
        <v>#VALUE!</v>
      </c>
      <c r="AB9" t="e">
        <f>AND('Data '!E55,"AAAAAF/z/hs=")</f>
        <v>#VALUE!</v>
      </c>
      <c r="AC9" t="e">
        <f>AND('Data '!F55,"AAAAAF/z/hw=")</f>
        <v>#VALUE!</v>
      </c>
      <c r="AD9" t="e">
        <f>AND('Data '!G55,"AAAAAF/z/h0=")</f>
        <v>#VALUE!</v>
      </c>
      <c r="AE9" t="e">
        <f>AND('Data '!H55,"AAAAAF/z/h4=")</f>
        <v>#VALUE!</v>
      </c>
      <c r="AF9" t="e">
        <f>AND('Data '!I55,"AAAAAF/z/h8=")</f>
        <v>#VALUE!</v>
      </c>
      <c r="AG9">
        <f>IF('Data '!56:56,"AAAAAF/z/iA=",0)</f>
        <v>0</v>
      </c>
      <c r="AH9" t="e">
        <f>AND('Data '!A56,"AAAAAF/z/iE=")</f>
        <v>#VALUE!</v>
      </c>
      <c r="AI9" t="e">
        <f>AND('Data '!B56,"AAAAAF/z/iI=")</f>
        <v>#VALUE!</v>
      </c>
      <c r="AJ9" t="e">
        <f>AND('Data '!C56,"AAAAAF/z/iM=")</f>
        <v>#VALUE!</v>
      </c>
      <c r="AK9" t="e">
        <f>AND('Data '!D56,"AAAAAF/z/iQ=")</f>
        <v>#VALUE!</v>
      </c>
      <c r="AL9" t="e">
        <f>AND('Data '!E56,"AAAAAF/z/iU=")</f>
        <v>#VALUE!</v>
      </c>
      <c r="AM9" t="e">
        <f>AND('Data '!F56,"AAAAAF/z/iY=")</f>
        <v>#VALUE!</v>
      </c>
      <c r="AN9" t="e">
        <f>AND('Data '!G56,"AAAAAF/z/ic=")</f>
        <v>#VALUE!</v>
      </c>
      <c r="AO9" t="e">
        <f>AND('Data '!H56,"AAAAAF/z/ig=")</f>
        <v>#VALUE!</v>
      </c>
      <c r="AP9" t="e">
        <f>AND('Data '!I56,"AAAAAF/z/ik=")</f>
        <v>#VALUE!</v>
      </c>
      <c r="AQ9">
        <f>IF('Data '!57:57,"AAAAAF/z/io=",0)</f>
        <v>0</v>
      </c>
      <c r="AR9" t="e">
        <f>AND('Data '!A57,"AAAAAF/z/is=")</f>
        <v>#VALUE!</v>
      </c>
      <c r="AS9" t="e">
        <f>AND('Data '!B57,"AAAAAF/z/iw=")</f>
        <v>#VALUE!</v>
      </c>
      <c r="AT9" t="e">
        <f>AND('Data '!C57,"AAAAAF/z/i0=")</f>
        <v>#VALUE!</v>
      </c>
      <c r="AU9" t="e">
        <f>AND('Data '!D57,"AAAAAF/z/i4=")</f>
        <v>#VALUE!</v>
      </c>
      <c r="AV9" t="e">
        <f>AND('Data '!E57,"AAAAAF/z/i8=")</f>
        <v>#VALUE!</v>
      </c>
      <c r="AW9" t="e">
        <f>AND('Data '!F57,"AAAAAF/z/jA=")</f>
        <v>#VALUE!</v>
      </c>
      <c r="AX9" t="e">
        <f>AND('Data '!G57,"AAAAAF/z/jE=")</f>
        <v>#VALUE!</v>
      </c>
      <c r="AY9" t="e">
        <f>AND('Data '!H57,"AAAAAF/z/jI=")</f>
        <v>#VALUE!</v>
      </c>
      <c r="AZ9" t="e">
        <f>AND('Data '!I57,"AAAAAF/z/jM=")</f>
        <v>#VALUE!</v>
      </c>
      <c r="BA9">
        <f>IF('Data '!58:58,"AAAAAF/z/jQ=",0)</f>
        <v>0</v>
      </c>
      <c r="BB9" t="e">
        <f>AND('Data '!A58,"AAAAAF/z/jU=")</f>
        <v>#VALUE!</v>
      </c>
      <c r="BC9" t="e">
        <f>AND('Data '!B58,"AAAAAF/z/jY=")</f>
        <v>#VALUE!</v>
      </c>
      <c r="BD9" t="e">
        <f>AND('Data '!C58,"AAAAAF/z/jc=")</f>
        <v>#VALUE!</v>
      </c>
      <c r="BE9" t="e">
        <f>AND('Data '!D58,"AAAAAF/z/jg=")</f>
        <v>#VALUE!</v>
      </c>
      <c r="BF9" t="e">
        <f>AND('Data '!E58,"AAAAAF/z/jk=")</f>
        <v>#VALUE!</v>
      </c>
      <c r="BG9" t="e">
        <f>AND('Data '!F58,"AAAAAF/z/jo=")</f>
        <v>#VALUE!</v>
      </c>
      <c r="BH9" t="e">
        <f>AND('Data '!G58,"AAAAAF/z/js=")</f>
        <v>#VALUE!</v>
      </c>
      <c r="BI9" t="e">
        <f>AND('Data '!H58,"AAAAAF/z/jw=")</f>
        <v>#VALUE!</v>
      </c>
      <c r="BJ9" t="e">
        <f>AND('Data '!I58,"AAAAAF/z/j0=")</f>
        <v>#VALUE!</v>
      </c>
      <c r="BK9">
        <f>IF('Data '!59:59,"AAAAAF/z/j4=",0)</f>
        <v>0</v>
      </c>
      <c r="BL9" t="e">
        <f>AND('Data '!A59,"AAAAAF/z/j8=")</f>
        <v>#VALUE!</v>
      </c>
      <c r="BM9" t="e">
        <f>AND('Data '!B59,"AAAAAF/z/kA=")</f>
        <v>#VALUE!</v>
      </c>
      <c r="BN9" t="e">
        <f>AND('Data '!C59,"AAAAAF/z/kE=")</f>
        <v>#VALUE!</v>
      </c>
      <c r="BO9" t="e">
        <f>AND('Data '!D59,"AAAAAF/z/kI=")</f>
        <v>#VALUE!</v>
      </c>
      <c r="BP9" t="e">
        <f>AND('Data '!E59,"AAAAAF/z/kM=")</f>
        <v>#VALUE!</v>
      </c>
      <c r="BQ9" t="e">
        <f>AND('Data '!F59,"AAAAAF/z/kQ=")</f>
        <v>#VALUE!</v>
      </c>
      <c r="BR9" t="e">
        <f>AND('Data '!G59,"AAAAAF/z/kU=")</f>
        <v>#VALUE!</v>
      </c>
      <c r="BS9" t="e">
        <f>AND('Data '!H59,"AAAAAF/z/kY=")</f>
        <v>#VALUE!</v>
      </c>
      <c r="BT9" t="e">
        <f>AND('Data '!I59,"AAAAAF/z/kc=")</f>
        <v>#VALUE!</v>
      </c>
      <c r="BU9">
        <f>IF('Data '!60:60,"AAAAAF/z/kg=",0)</f>
        <v>0</v>
      </c>
      <c r="BV9" t="e">
        <f>AND('Data '!A60,"AAAAAF/z/kk=")</f>
        <v>#VALUE!</v>
      </c>
      <c r="BW9" t="e">
        <f>AND('Data '!B60,"AAAAAF/z/ko=")</f>
        <v>#VALUE!</v>
      </c>
      <c r="BX9" t="e">
        <f>AND('Data '!C60,"AAAAAF/z/ks=")</f>
        <v>#VALUE!</v>
      </c>
      <c r="BY9" t="e">
        <f>AND('Data '!D60,"AAAAAF/z/kw=")</f>
        <v>#VALUE!</v>
      </c>
      <c r="BZ9" t="e">
        <f>AND('Data '!E60,"AAAAAF/z/k0=")</f>
        <v>#VALUE!</v>
      </c>
      <c r="CA9" t="e">
        <f>AND('Data '!F60,"AAAAAF/z/k4=")</f>
        <v>#VALUE!</v>
      </c>
      <c r="CB9" t="e">
        <f>AND('Data '!G60,"AAAAAF/z/k8=")</f>
        <v>#VALUE!</v>
      </c>
      <c r="CC9" t="e">
        <f>AND('Data '!H60,"AAAAAF/z/lA=")</f>
        <v>#VALUE!</v>
      </c>
      <c r="CD9" t="e">
        <f>AND('Data '!I60,"AAAAAF/z/lE=")</f>
        <v>#VALUE!</v>
      </c>
      <c r="CE9">
        <f>IF('Data '!61:61,"AAAAAF/z/lI=",0)</f>
        <v>0</v>
      </c>
      <c r="CF9" t="e">
        <f>AND('Data '!A61,"AAAAAF/z/lM=")</f>
        <v>#VALUE!</v>
      </c>
      <c r="CG9" t="e">
        <f>AND('Data '!B61,"AAAAAF/z/lQ=")</f>
        <v>#VALUE!</v>
      </c>
      <c r="CH9" t="e">
        <f>AND('Data '!C61,"AAAAAF/z/lU=")</f>
        <v>#VALUE!</v>
      </c>
      <c r="CI9" t="e">
        <f>AND('Data '!D61,"AAAAAF/z/lY=")</f>
        <v>#VALUE!</v>
      </c>
      <c r="CJ9" t="e">
        <f>AND('Data '!E61,"AAAAAF/z/lc=")</f>
        <v>#VALUE!</v>
      </c>
      <c r="CK9" t="e">
        <f>AND('Data '!F61,"AAAAAF/z/lg=")</f>
        <v>#VALUE!</v>
      </c>
      <c r="CL9" t="e">
        <f>AND('Data '!G61,"AAAAAF/z/lk=")</f>
        <v>#VALUE!</v>
      </c>
      <c r="CM9" t="e">
        <f>AND('Data '!H61,"AAAAAF/z/lo=")</f>
        <v>#VALUE!</v>
      </c>
      <c r="CN9" t="e">
        <f>AND('Data '!I61,"AAAAAF/z/ls=")</f>
        <v>#VALUE!</v>
      </c>
      <c r="CO9">
        <f>IF('Data '!62:62,"AAAAAF/z/lw=",0)</f>
        <v>0</v>
      </c>
      <c r="CP9" t="e">
        <f>AND('Data '!A62,"AAAAAF/z/l0=")</f>
        <v>#VALUE!</v>
      </c>
      <c r="CQ9" t="e">
        <f>AND('Data '!B62,"AAAAAF/z/l4=")</f>
        <v>#VALUE!</v>
      </c>
      <c r="CR9" t="e">
        <f>AND('Data '!C62,"AAAAAF/z/l8=")</f>
        <v>#VALUE!</v>
      </c>
      <c r="CS9" t="e">
        <f>AND('Data '!D62,"AAAAAF/z/mA=")</f>
        <v>#VALUE!</v>
      </c>
      <c r="CT9" t="e">
        <f>AND('Data '!E62,"AAAAAF/z/mE=")</f>
        <v>#VALUE!</v>
      </c>
      <c r="CU9" t="e">
        <f>AND('Data '!F62,"AAAAAF/z/mI=")</f>
        <v>#VALUE!</v>
      </c>
      <c r="CV9" t="e">
        <f>AND('Data '!G62,"AAAAAF/z/mM=")</f>
        <v>#VALUE!</v>
      </c>
      <c r="CW9" t="e">
        <f>AND('Data '!H62,"AAAAAF/z/mQ=")</f>
        <v>#VALUE!</v>
      </c>
      <c r="CX9" t="e">
        <f>AND('Data '!I62,"AAAAAF/z/mU=")</f>
        <v>#VALUE!</v>
      </c>
      <c r="CY9">
        <f>IF('Data '!63:63,"AAAAAF/z/mY=",0)</f>
        <v>0</v>
      </c>
      <c r="CZ9" t="e">
        <f>AND('Data '!A63,"AAAAAF/z/mc=")</f>
        <v>#VALUE!</v>
      </c>
      <c r="DA9" t="e">
        <f>AND('Data '!B63,"AAAAAF/z/mg=")</f>
        <v>#VALUE!</v>
      </c>
      <c r="DB9" t="e">
        <f>AND('Data '!C63,"AAAAAF/z/mk=")</f>
        <v>#VALUE!</v>
      </c>
      <c r="DC9" t="e">
        <f>AND('Data '!D63,"AAAAAF/z/mo=")</f>
        <v>#VALUE!</v>
      </c>
      <c r="DD9" t="e">
        <f>AND('Data '!E63,"AAAAAF/z/ms=")</f>
        <v>#VALUE!</v>
      </c>
      <c r="DE9" t="e">
        <f>AND('Data '!F63,"AAAAAF/z/mw=")</f>
        <v>#VALUE!</v>
      </c>
      <c r="DF9" t="e">
        <f>AND('Data '!G63,"AAAAAF/z/m0=")</f>
        <v>#VALUE!</v>
      </c>
      <c r="DG9" t="e">
        <f>AND('Data '!H63,"AAAAAF/z/m4=")</f>
        <v>#VALUE!</v>
      </c>
      <c r="DH9" t="e">
        <f>AND('Data '!I63,"AAAAAF/z/m8=")</f>
        <v>#VALUE!</v>
      </c>
      <c r="DI9">
        <f>IF('Data '!64:64,"AAAAAF/z/nA=",0)</f>
        <v>0</v>
      </c>
      <c r="DJ9" t="e">
        <f>AND('Data '!A64,"AAAAAF/z/nE=")</f>
        <v>#VALUE!</v>
      </c>
      <c r="DK9" t="e">
        <f>AND('Data '!B64,"AAAAAF/z/nI=")</f>
        <v>#VALUE!</v>
      </c>
      <c r="DL9" t="e">
        <f>AND('Data '!C64,"AAAAAF/z/nM=")</f>
        <v>#VALUE!</v>
      </c>
      <c r="DM9" t="e">
        <f>AND('Data '!D64,"AAAAAF/z/nQ=")</f>
        <v>#VALUE!</v>
      </c>
      <c r="DN9" t="e">
        <f>AND('Data '!E64,"AAAAAF/z/nU=")</f>
        <v>#VALUE!</v>
      </c>
      <c r="DO9" t="e">
        <f>AND('Data '!F64,"AAAAAF/z/nY=")</f>
        <v>#VALUE!</v>
      </c>
      <c r="DP9" t="e">
        <f>AND('Data '!G64,"AAAAAF/z/nc=")</f>
        <v>#VALUE!</v>
      </c>
      <c r="DQ9" t="e">
        <f>AND('Data '!H64,"AAAAAF/z/ng=")</f>
        <v>#VALUE!</v>
      </c>
      <c r="DR9" t="e">
        <f>AND('Data '!I64,"AAAAAF/z/nk=")</f>
        <v>#VALUE!</v>
      </c>
      <c r="DS9">
        <f>IF('Data '!65:65,"AAAAAF/z/no=",0)</f>
        <v>0</v>
      </c>
      <c r="DT9" t="e">
        <f>AND('Data '!A65,"AAAAAF/z/ns=")</f>
        <v>#VALUE!</v>
      </c>
      <c r="DU9" t="e">
        <f>AND('Data '!B65,"AAAAAF/z/nw=")</f>
        <v>#VALUE!</v>
      </c>
      <c r="DV9" t="e">
        <f>AND('Data '!C65,"AAAAAF/z/n0=")</f>
        <v>#VALUE!</v>
      </c>
      <c r="DW9" t="e">
        <f>AND('Data '!D65,"AAAAAF/z/n4=")</f>
        <v>#VALUE!</v>
      </c>
      <c r="DX9" t="e">
        <f>AND('Data '!E65,"AAAAAF/z/n8=")</f>
        <v>#VALUE!</v>
      </c>
      <c r="DY9" t="e">
        <f>AND('Data '!F65,"AAAAAF/z/oA=")</f>
        <v>#VALUE!</v>
      </c>
      <c r="DZ9" t="e">
        <f>AND('Data '!G65,"AAAAAF/z/oE=")</f>
        <v>#VALUE!</v>
      </c>
      <c r="EA9" t="e">
        <f>AND('Data '!H65,"AAAAAF/z/oI=")</f>
        <v>#VALUE!</v>
      </c>
      <c r="EB9" t="e">
        <f>AND('Data '!I65,"AAAAAF/z/oM=")</f>
        <v>#VALUE!</v>
      </c>
      <c r="EC9">
        <f>IF('Data '!66:66,"AAAAAF/z/oQ=",0)</f>
        <v>0</v>
      </c>
      <c r="ED9" t="e">
        <f>AND('Data '!A66,"AAAAAF/z/oU=")</f>
        <v>#VALUE!</v>
      </c>
      <c r="EE9" t="e">
        <f>AND('Data '!B66,"AAAAAF/z/oY=")</f>
        <v>#VALUE!</v>
      </c>
      <c r="EF9" t="e">
        <f>AND('Data '!C66,"AAAAAF/z/oc=")</f>
        <v>#VALUE!</v>
      </c>
      <c r="EG9" t="e">
        <f>AND('Data '!D66,"AAAAAF/z/og=")</f>
        <v>#VALUE!</v>
      </c>
      <c r="EH9" t="e">
        <f>AND('Data '!E66,"AAAAAF/z/ok=")</f>
        <v>#VALUE!</v>
      </c>
      <c r="EI9" t="e">
        <f>AND('Data '!F66,"AAAAAF/z/oo=")</f>
        <v>#VALUE!</v>
      </c>
      <c r="EJ9" t="e">
        <f>AND('Data '!G66,"AAAAAF/z/os=")</f>
        <v>#VALUE!</v>
      </c>
      <c r="EK9" t="e">
        <f>AND('Data '!H66,"AAAAAF/z/ow=")</f>
        <v>#VALUE!</v>
      </c>
      <c r="EL9" t="e">
        <f>AND('Data '!I66,"AAAAAF/z/o0=")</f>
        <v>#VALUE!</v>
      </c>
      <c r="EM9">
        <f>IF('Data '!67:67,"AAAAAF/z/o4=",0)</f>
        <v>0</v>
      </c>
      <c r="EN9" t="e">
        <f>AND('Data '!A67,"AAAAAF/z/o8=")</f>
        <v>#VALUE!</v>
      </c>
      <c r="EO9" t="e">
        <f>AND('Data '!B67,"AAAAAF/z/pA=")</f>
        <v>#VALUE!</v>
      </c>
      <c r="EP9" t="e">
        <f>AND('Data '!C67,"AAAAAF/z/pE=")</f>
        <v>#VALUE!</v>
      </c>
      <c r="EQ9" t="e">
        <f>AND('Data '!D67,"AAAAAF/z/pI=")</f>
        <v>#VALUE!</v>
      </c>
      <c r="ER9" t="e">
        <f>AND('Data '!E67,"AAAAAF/z/pM=")</f>
        <v>#VALUE!</v>
      </c>
      <c r="ES9" t="e">
        <f>AND('Data '!F67,"AAAAAF/z/pQ=")</f>
        <v>#VALUE!</v>
      </c>
      <c r="ET9" t="e">
        <f>AND('Data '!G67,"AAAAAF/z/pU=")</f>
        <v>#VALUE!</v>
      </c>
      <c r="EU9" t="e">
        <f>AND('Data '!H67,"AAAAAF/z/pY=")</f>
        <v>#VALUE!</v>
      </c>
      <c r="EV9" t="e">
        <f>AND('Data '!I67,"AAAAAF/z/pc=")</f>
        <v>#VALUE!</v>
      </c>
      <c r="EW9">
        <f>IF('Data '!68:68,"AAAAAF/z/pg=",0)</f>
        <v>0</v>
      </c>
      <c r="EX9" t="e">
        <f>AND('Data '!A68,"AAAAAF/z/pk=")</f>
        <v>#VALUE!</v>
      </c>
      <c r="EY9" t="e">
        <f>AND('Data '!B68,"AAAAAF/z/po=")</f>
        <v>#VALUE!</v>
      </c>
      <c r="EZ9" t="e">
        <f>AND('Data '!C68,"AAAAAF/z/ps=")</f>
        <v>#VALUE!</v>
      </c>
      <c r="FA9" t="e">
        <f>AND('Data '!D68,"AAAAAF/z/pw=")</f>
        <v>#VALUE!</v>
      </c>
      <c r="FB9" t="e">
        <f>AND('Data '!E68,"AAAAAF/z/p0=")</f>
        <v>#VALUE!</v>
      </c>
      <c r="FC9" t="e">
        <f>AND('Data '!F68,"AAAAAF/z/p4=")</f>
        <v>#VALUE!</v>
      </c>
      <c r="FD9" t="e">
        <f>AND('Data '!G68,"AAAAAF/z/p8=")</f>
        <v>#VALUE!</v>
      </c>
      <c r="FE9" t="e">
        <f>AND('Data '!H68,"AAAAAF/z/qA=")</f>
        <v>#VALUE!</v>
      </c>
      <c r="FF9" t="e">
        <f>AND('Data '!I68,"AAAAAF/z/qE=")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>
        <f>IF('Data '!C:C,"AAAAAF/z/qQ=",0)</f>
        <v>0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>
        <f>IF('Data '!H:H,"AAAAAF/z/qk=",0)</f>
        <v>0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>
        <f>IF('Data '!M:M,"AAAAAF/z/q4=",0)</f>
        <v>0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>
        <f>IF('Data '!R:R,"AAAAAF/z/rM=",0)</f>
        <v>0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>
        <f>IF('Data '!W:W,"AAAAAF/z/rg=",0)</f>
        <v>0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>
        <f>IF('Data '!AB:AB,"AAAAAF/z/r0=",0)</f>
        <v>0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ht="12.75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ht="12.75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ht="12.75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86" ht="12.75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vs</cp:lastModifiedBy>
  <cp:lastPrinted>2010-08-09T10:53:21Z</cp:lastPrinted>
  <dcterms:created xsi:type="dcterms:W3CDTF">2001-04-16T08:47:24Z</dcterms:created>
  <dcterms:modified xsi:type="dcterms:W3CDTF">2019-06-11T10:26:39Z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